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Kepler 452b" sheetId="1" r:id="rId1"/>
    <sheet name="TOI 700d" sheetId="2" r:id="rId2"/>
  </sheets>
  <calcPr calcId="125725"/>
</workbook>
</file>

<file path=xl/calcChain.xml><?xml version="1.0" encoding="utf-8"?>
<calcChain xmlns="http://schemas.openxmlformats.org/spreadsheetml/2006/main">
  <c r="F28" i="2"/>
  <c r="C28"/>
  <c r="C27"/>
  <c r="H24"/>
  <c r="H22"/>
  <c r="F21"/>
  <c r="H20"/>
  <c r="F20"/>
  <c r="F24" s="1"/>
  <c r="F27" s="1"/>
  <c r="H18"/>
  <c r="F18"/>
  <c r="H17"/>
  <c r="H16"/>
  <c r="H15"/>
  <c r="F15"/>
  <c r="F17" s="1"/>
  <c r="H11"/>
  <c r="F11"/>
  <c r="H10"/>
  <c r="F10"/>
  <c r="H9"/>
  <c r="F9"/>
  <c r="F5"/>
  <c r="H22" i="1"/>
  <c r="H24"/>
  <c r="H20"/>
  <c r="F27"/>
  <c r="F24"/>
  <c r="F28"/>
  <c r="H18"/>
  <c r="H17"/>
  <c r="H16"/>
  <c r="H15"/>
  <c r="F16"/>
  <c r="H11"/>
  <c r="H10"/>
  <c r="H9"/>
  <c r="F21"/>
  <c r="F23" s="1"/>
  <c r="F20"/>
  <c r="F22" s="1"/>
  <c r="F15"/>
  <c r="F17" s="1"/>
  <c r="F11"/>
  <c r="F10"/>
  <c r="F9"/>
  <c r="F5"/>
  <c r="C28"/>
  <c r="C27"/>
  <c r="F23" i="2" l="1"/>
  <c r="F16"/>
  <c r="F22"/>
  <c r="F18" i="1"/>
</calcChain>
</file>

<file path=xl/sharedStrings.xml><?xml version="1.0" encoding="utf-8"?>
<sst xmlns="http://schemas.openxmlformats.org/spreadsheetml/2006/main" count="105" uniqueCount="56">
  <si>
    <t>EXOPLANET ANALYSIS MODEL</t>
  </si>
  <si>
    <t>Star</t>
  </si>
  <si>
    <t>Planet</t>
  </si>
  <si>
    <t>Planet mass /earth masses</t>
  </si>
  <si>
    <t>Orbital period /days</t>
  </si>
  <si>
    <t>Orbital radius /AU</t>
  </si>
  <si>
    <t>Star radius /solar radii</t>
  </si>
  <si>
    <t>Luminosity /solar luminosity</t>
  </si>
  <si>
    <t>Star surface temperature /K</t>
  </si>
  <si>
    <t>Distance from Earth /ly</t>
  </si>
  <si>
    <t>Parallax /milli arc seconds</t>
  </si>
  <si>
    <t>A. French Jan 2021</t>
  </si>
  <si>
    <t>Planet radius /earth radii</t>
  </si>
  <si>
    <t>Star mass /solar masses</t>
  </si>
  <si>
    <t>Kepler 452</t>
  </si>
  <si>
    <t>Kepler 452b</t>
  </si>
  <si>
    <t>"Earth 2.0"</t>
  </si>
  <si>
    <t>1AU /m</t>
  </si>
  <si>
    <t>Solar mass /kg</t>
  </si>
  <si>
    <t>Earth mass /kg</t>
  </si>
  <si>
    <t>Earth radius /km</t>
  </si>
  <si>
    <t>Solar luminosity /Wm^-2</t>
  </si>
  <si>
    <t>Speed of light /ms^-1</t>
  </si>
  <si>
    <t>1 year /s</t>
  </si>
  <si>
    <t>1 light year (ly) /m</t>
  </si>
  <si>
    <t>Gravitational constant G / Nm^2kg^-2</t>
  </si>
  <si>
    <t>Solar radius /km</t>
  </si>
  <si>
    <t>Stefan-Boltzmann constant /Wm^-2K^-4</t>
  </si>
  <si>
    <t>Calculated orbital radius /AU from star mass and period</t>
  </si>
  <si>
    <t>Peak star spectral intensity wavelength /nm</t>
  </si>
  <si>
    <t>Sun surface temperature /K</t>
  </si>
  <si>
    <t>Sun peak spectral intensity wavelength /nm</t>
  </si>
  <si>
    <t>Calculated star radius /solar radii</t>
  </si>
  <si>
    <t>Calculated star luminosity /solar luminosity</t>
  </si>
  <si>
    <t>Calculated star mass / solar masses</t>
  </si>
  <si>
    <t>Star calculation based upon main sequence correlations, and quoted star surface temperature</t>
  </si>
  <si>
    <t>Star calculation based upon main sequence correlations, and quoted star mass</t>
  </si>
  <si>
    <t>Calculated star surface temperature / Sun surface temperature</t>
  </si>
  <si>
    <t>Orbital speed of star /ms^-1 about barycentre</t>
  </si>
  <si>
    <t>Maximum Doppler wavelength shift of star due to orbit about barycentre /nm</t>
  </si>
  <si>
    <t>https://en.wikipedia.org/wiki/Doppler_spectroscopy</t>
  </si>
  <si>
    <t>Calculated star surface temperature /K</t>
  </si>
  <si>
    <t>Luminosity dip (%) during transit of planet in front of star</t>
  </si>
  <si>
    <t>Orbital speed of planet /kms^-1 about barycentre (effectively the star centre of mass)</t>
  </si>
  <si>
    <t>Time for centre of mass of planet to transit star /hours</t>
  </si>
  <si>
    <t>https://en.wikipedia.org/wiki/Exoplanet</t>
  </si>
  <si>
    <t>Kepler 452-b exoplanet</t>
  </si>
  <si>
    <t>Kepler-452 star</t>
  </si>
  <si>
    <t>Calculated planet mass /earth mass</t>
  </si>
  <si>
    <t>Published value</t>
  </si>
  <si>
    <t>https://en.wikipedia.org/wiki/TOI_700_d</t>
  </si>
  <si>
    <t>https://en.wikipedia.org/wiki/TOI_700</t>
  </si>
  <si>
    <t>TOI 700</t>
  </si>
  <si>
    <t>Red dwarf</t>
  </si>
  <si>
    <t>TOI 700d</t>
  </si>
  <si>
    <t>Liquid water?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</si>
</sst>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/>
    <xf numFmtId="0" fontId="0" fillId="0" borderId="1" xfId="0" applyBorder="1"/>
    <xf numFmtId="11" fontId="0" fillId="0" borderId="1" xfId="0" applyNumberFormat="1" applyBorder="1"/>
    <xf numFmtId="164" fontId="0" fillId="0" borderId="0" xfId="0" applyNumberFormat="1"/>
    <xf numFmtId="0" fontId="2" fillId="0" borderId="0" xfId="1" applyAlignment="1" applyProtection="1"/>
    <xf numFmtId="1" fontId="0" fillId="0" borderId="1" xfId="0" applyNumberForma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2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11" fontId="0" fillId="4" borderId="1" xfId="0" applyNumberFormat="1" applyFill="1" applyBorder="1"/>
    <xf numFmtId="11" fontId="0" fillId="5" borderId="1" xfId="0" applyNumberFormat="1" applyFill="1" applyBorder="1"/>
    <xf numFmtId="1" fontId="0" fillId="4" borderId="1" xfId="0" applyNumberFormat="1" applyFill="1" applyBorder="1"/>
    <xf numFmtId="0" fontId="1" fillId="2" borderId="1" xfId="0" applyFont="1" applyFill="1" applyBorder="1"/>
    <xf numFmtId="0" fontId="1" fillId="0" borderId="1" xfId="0" applyFont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0" borderId="1" xfId="0" applyFont="1" applyFill="1" applyBorder="1"/>
    <xf numFmtId="0" fontId="3" fillId="0" borderId="0" xfId="0" applyFont="1"/>
    <xf numFmtId="0" fontId="1" fillId="3" borderId="1" xfId="0" applyFont="1" applyFill="1" applyBorder="1"/>
    <xf numFmtId="164" fontId="0" fillId="3" borderId="1" xfId="0" applyNumberFormat="1" applyFill="1" applyBorder="1"/>
    <xf numFmtId="0" fontId="1" fillId="7" borderId="1" xfId="0" applyFont="1" applyFill="1" applyBorder="1"/>
    <xf numFmtId="164" fontId="0" fillId="7" borderId="1" xfId="0" applyNumberFormat="1" applyFill="1" applyBorder="1"/>
    <xf numFmtId="1" fontId="0" fillId="7" borderId="1" xfId="0" applyNumberFormat="1" applyFill="1" applyBorder="1"/>
    <xf numFmtId="0" fontId="1" fillId="6" borderId="1" xfId="0" applyFont="1" applyFill="1" applyBorder="1"/>
    <xf numFmtId="164" fontId="0" fillId="6" borderId="1" xfId="0" applyNumberFormat="1" applyFill="1" applyBorder="1"/>
    <xf numFmtId="2" fontId="0" fillId="6" borderId="1" xfId="0" applyNumberFormat="1" applyFill="1" applyBorder="1"/>
    <xf numFmtId="165" fontId="0" fillId="2" borderId="1" xfId="0" applyNumberFormat="1" applyFill="1" applyBorder="1"/>
    <xf numFmtId="164" fontId="0" fillId="2" borderId="1" xfId="0" applyNumberFormat="1" applyFill="1" applyBorder="1"/>
    <xf numFmtId="11" fontId="0" fillId="2" borderId="1" xfId="0" applyNumberFormat="1" applyFill="1" applyBorder="1"/>
    <xf numFmtId="2" fontId="0" fillId="0" borderId="1" xfId="0" applyNumberForma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Kepler-452" TargetMode="External"/><Relationship Id="rId2" Type="http://schemas.openxmlformats.org/officeDocument/2006/relationships/hyperlink" Target="https://en.wikipedia.org/wiki/Kepler-452b" TargetMode="External"/><Relationship Id="rId1" Type="http://schemas.openxmlformats.org/officeDocument/2006/relationships/hyperlink" Target="https://en.wikipedia.org/wiki/Doppler_spectroscopy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n.wikipedia.org/wiki/Exoplane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TOI_700" TargetMode="External"/><Relationship Id="rId2" Type="http://schemas.openxmlformats.org/officeDocument/2006/relationships/hyperlink" Target="https://en.wikipedia.org/wiki/TOI_700_d" TargetMode="External"/><Relationship Id="rId1" Type="http://schemas.openxmlformats.org/officeDocument/2006/relationships/hyperlink" Target="https://en.wikipedia.org/wiki/Doppler_spectroscopy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en.wikipedia.org/wiki/Exopla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3"/>
  <sheetViews>
    <sheetView tabSelected="1" workbookViewId="0">
      <selection sqref="A1:XFD1048576"/>
    </sheetView>
  </sheetViews>
  <sheetFormatPr defaultRowHeight="14.4"/>
  <cols>
    <col min="1" max="1" width="4.88671875" customWidth="1"/>
    <col min="2" max="2" width="36.33203125" customWidth="1"/>
    <col min="3" max="3" width="13" customWidth="1"/>
    <col min="4" max="4" width="12.33203125" customWidth="1"/>
    <col min="5" max="5" width="72.88671875" customWidth="1"/>
    <col min="6" max="6" width="11" bestFit="1" customWidth="1"/>
    <col min="7" max="7" width="6" customWidth="1"/>
  </cols>
  <sheetData>
    <row r="2" spans="2:8">
      <c r="B2" s="1" t="s">
        <v>0</v>
      </c>
    </row>
    <row r="3" spans="2:8">
      <c r="B3" t="s">
        <v>11</v>
      </c>
    </row>
    <row r="5" spans="2:8">
      <c r="B5" s="17" t="s">
        <v>1</v>
      </c>
      <c r="C5" s="17" t="s">
        <v>14</v>
      </c>
      <c r="E5" s="18" t="s">
        <v>29</v>
      </c>
      <c r="F5" s="6">
        <f>C32*(C31/C16)</f>
        <v>504.00555845058193</v>
      </c>
    </row>
    <row r="6" spans="2:8">
      <c r="B6" s="28" t="s">
        <v>2</v>
      </c>
      <c r="C6" s="28" t="s">
        <v>15</v>
      </c>
      <c r="D6" t="s">
        <v>16</v>
      </c>
    </row>
    <row r="7" spans="2:8">
      <c r="B7" s="1"/>
      <c r="E7" s="22" t="s">
        <v>35</v>
      </c>
      <c r="H7" s="1" t="s">
        <v>49</v>
      </c>
    </row>
    <row r="8" spans="2:8">
      <c r="B8" s="28" t="s">
        <v>3</v>
      </c>
      <c r="C8" s="13">
        <v>5</v>
      </c>
    </row>
    <row r="9" spans="2:8">
      <c r="B9" s="28" t="s">
        <v>12</v>
      </c>
      <c r="C9" s="13">
        <v>1.5</v>
      </c>
      <c r="E9" s="23" t="s">
        <v>34</v>
      </c>
      <c r="F9" s="24">
        <f>(C16/C31)^1.95</f>
        <v>0.99225515196118952</v>
      </c>
      <c r="H9" s="8">
        <f>C13</f>
        <v>1.0369999999999999</v>
      </c>
    </row>
    <row r="10" spans="2:8">
      <c r="B10" s="28" t="s">
        <v>4</v>
      </c>
      <c r="C10" s="13">
        <v>384.84</v>
      </c>
      <c r="E10" s="23" t="s">
        <v>32</v>
      </c>
      <c r="F10" s="24">
        <f>(C16/C31)^((6.81/2)-2)</f>
        <v>0.99441367817925852</v>
      </c>
      <c r="H10" s="8">
        <f>C14</f>
        <v>1.1100000000000001</v>
      </c>
    </row>
    <row r="11" spans="2:8">
      <c r="B11" s="28" t="s">
        <v>5</v>
      </c>
      <c r="C11" s="13">
        <v>1.046</v>
      </c>
      <c r="E11" s="23" t="s">
        <v>33</v>
      </c>
      <c r="F11" s="24">
        <f>(C16/C31)^6.81</f>
        <v>0.97321264464268809</v>
      </c>
      <c r="H11" s="8">
        <f>C15</f>
        <v>1.2</v>
      </c>
    </row>
    <row r="12" spans="2:8">
      <c r="B12" s="1"/>
      <c r="F12" s="4"/>
      <c r="H12" s="7"/>
    </row>
    <row r="13" spans="2:8">
      <c r="B13" s="17" t="s">
        <v>13</v>
      </c>
      <c r="C13" s="10">
        <v>1.0369999999999999</v>
      </c>
      <c r="E13" s="22" t="s">
        <v>36</v>
      </c>
      <c r="F13" s="4"/>
      <c r="H13" s="7"/>
    </row>
    <row r="14" spans="2:8">
      <c r="B14" s="17" t="s">
        <v>6</v>
      </c>
      <c r="C14" s="10">
        <v>1.1100000000000001</v>
      </c>
      <c r="F14" s="4"/>
      <c r="H14" s="7"/>
    </row>
    <row r="15" spans="2:8">
      <c r="B15" s="17" t="s">
        <v>7</v>
      </c>
      <c r="C15" s="10">
        <v>1.2</v>
      </c>
      <c r="E15" s="25" t="s">
        <v>37</v>
      </c>
      <c r="F15" s="26">
        <f>C13^(1/1.95)</f>
        <v>1.0188064128213694</v>
      </c>
      <c r="H15" s="9">
        <f>C16/C31</f>
        <v>0.99602076124567474</v>
      </c>
    </row>
    <row r="16" spans="2:8">
      <c r="B16" s="17" t="s">
        <v>8</v>
      </c>
      <c r="C16" s="10">
        <v>5757</v>
      </c>
      <c r="E16" s="25" t="s">
        <v>41</v>
      </c>
      <c r="F16" s="27">
        <f>F15*C31</f>
        <v>5888.7010661075155</v>
      </c>
      <c r="H16" s="8">
        <f>C16</f>
        <v>5757</v>
      </c>
    </row>
    <row r="17" spans="2:8">
      <c r="B17" s="17" t="s">
        <v>9</v>
      </c>
      <c r="C17" s="10">
        <v>1402</v>
      </c>
      <c r="E17" s="25" t="s">
        <v>32</v>
      </c>
      <c r="F17" s="26">
        <f>F15^( (6.81/2) - 2 )</f>
        <v>1.0265232641819853</v>
      </c>
      <c r="H17" s="8">
        <f>C14</f>
        <v>1.1100000000000001</v>
      </c>
    </row>
    <row r="18" spans="2:8">
      <c r="B18" s="17" t="s">
        <v>10</v>
      </c>
      <c r="C18" s="10">
        <v>1.7838000000000001</v>
      </c>
      <c r="E18" s="25" t="s">
        <v>33</v>
      </c>
      <c r="F18" s="26">
        <f>F15^6.81</f>
        <v>1.1352833598013006</v>
      </c>
      <c r="H18" s="8">
        <f>C15</f>
        <v>1.2</v>
      </c>
    </row>
    <row r="19" spans="2:8">
      <c r="B19" s="1"/>
      <c r="H19" s="7"/>
    </row>
    <row r="20" spans="2:8">
      <c r="B20" s="18" t="s">
        <v>17</v>
      </c>
      <c r="C20" s="3">
        <v>149600000000</v>
      </c>
      <c r="E20" s="28" t="s">
        <v>28</v>
      </c>
      <c r="F20" s="29">
        <f>( C13*(C10/365)^2 )^(1/3)</f>
        <v>1.0485387375442379</v>
      </c>
      <c r="H20" s="8">
        <f>C11</f>
        <v>1.046</v>
      </c>
    </row>
    <row r="21" spans="2:8">
      <c r="B21" s="19" t="s">
        <v>18</v>
      </c>
      <c r="C21" s="14">
        <v>1.99E+30</v>
      </c>
      <c r="E21" s="17" t="s">
        <v>38</v>
      </c>
      <c r="F21" s="32">
        <f>C29*C10*24*3600*C8*C22/( 2*PI()*(C11*C20)^2 )</f>
        <v>0.43028647306220752</v>
      </c>
      <c r="H21" s="7"/>
    </row>
    <row r="22" spans="2:8">
      <c r="B22" s="20" t="s">
        <v>19</v>
      </c>
      <c r="C22" s="15">
        <v>5.9700000000000003E+24</v>
      </c>
      <c r="E22" s="28" t="s">
        <v>48</v>
      </c>
      <c r="F22" s="30">
        <f>2*PI()*((F20*C20)^2)*F21/( C29*C22*C10*24*3600)</f>
        <v>5.0243003672867577</v>
      </c>
      <c r="H22" s="34">
        <f>C8</f>
        <v>5</v>
      </c>
    </row>
    <row r="23" spans="2:8">
      <c r="B23" s="19" t="s">
        <v>26</v>
      </c>
      <c r="C23" s="11">
        <v>696340</v>
      </c>
      <c r="E23" s="17" t="s">
        <v>39</v>
      </c>
      <c r="F23" s="33">
        <f>F21*F5/C26</f>
        <v>7.2337149482804932E-7</v>
      </c>
      <c r="H23" s="7"/>
    </row>
    <row r="24" spans="2:8">
      <c r="B24" s="20" t="s">
        <v>20</v>
      </c>
      <c r="C24" s="12">
        <v>6371</v>
      </c>
      <c r="E24" s="28" t="s">
        <v>43</v>
      </c>
      <c r="F24" s="30">
        <f>(1/1000)*2*PI()*F20*C20/( C10*24*3600)</f>
        <v>29.641623947677438</v>
      </c>
      <c r="H24" s="34">
        <f>(1/1000)*2*PI()*C11*C20/(C10*24*3600)</f>
        <v>29.569855208103359</v>
      </c>
    </row>
    <row r="25" spans="2:8">
      <c r="B25" s="19" t="s">
        <v>21</v>
      </c>
      <c r="C25" s="14">
        <v>3.8459999999999999E+26</v>
      </c>
    </row>
    <row r="26" spans="2:8">
      <c r="B26" s="18" t="s">
        <v>22</v>
      </c>
      <c r="C26" s="3">
        <v>299800000</v>
      </c>
    </row>
    <row r="27" spans="2:8">
      <c r="B27" s="18" t="s">
        <v>23</v>
      </c>
      <c r="C27" s="2">
        <f>365*24*3600</f>
        <v>31536000</v>
      </c>
      <c r="E27" s="28" t="s">
        <v>44</v>
      </c>
      <c r="F27" s="30">
        <f>(2*C14*C23/F24)/3600</f>
        <v>14.48671190973371</v>
      </c>
    </row>
    <row r="28" spans="2:8">
      <c r="B28" s="18" t="s">
        <v>24</v>
      </c>
      <c r="C28" s="3">
        <f>C26*C27</f>
        <v>9454492800000000</v>
      </c>
      <c r="E28" s="17" t="s">
        <v>42</v>
      </c>
      <c r="F28" s="31">
        <f>100*((C9*C24)/(C14*C23))^2</f>
        <v>1.5286536034131402E-2</v>
      </c>
    </row>
    <row r="29" spans="2:8">
      <c r="B29" s="18" t="s">
        <v>25</v>
      </c>
      <c r="C29" s="3">
        <v>6.67E-11</v>
      </c>
    </row>
    <row r="30" spans="2:8">
      <c r="B30" s="21" t="s">
        <v>27</v>
      </c>
      <c r="C30" s="3">
        <v>5.6699999999999998E-8</v>
      </c>
      <c r="E30" s="5" t="s">
        <v>45</v>
      </c>
    </row>
    <row r="31" spans="2:8">
      <c r="B31" s="19" t="s">
        <v>30</v>
      </c>
      <c r="C31" s="16">
        <v>5780</v>
      </c>
      <c r="E31" s="5" t="s">
        <v>40</v>
      </c>
    </row>
    <row r="32" spans="2:8">
      <c r="B32" s="19" t="s">
        <v>31</v>
      </c>
      <c r="C32" s="16">
        <v>502</v>
      </c>
      <c r="E32" s="5" t="s">
        <v>46</v>
      </c>
    </row>
    <row r="33" spans="5:5">
      <c r="E33" s="5" t="s">
        <v>47</v>
      </c>
    </row>
  </sheetData>
  <hyperlinks>
    <hyperlink ref="E31" r:id="rId1"/>
    <hyperlink ref="E32" r:id="rId2" location=":~:text=Kepler%2D452b%20(a%20planet%20sometimes,Earth%20in%20the%20constellation%20Cygnus."/>
    <hyperlink ref="E33" r:id="rId3"/>
    <hyperlink ref="E30" r:id="rId4"/>
  </hyperlinks>
  <pageMargins left="0.70866141732283472" right="0.70866141732283472" top="0.74803149606299213" bottom="0.74803149606299213" header="0.31496062992125984" footer="0.31496062992125984"/>
  <pageSetup paperSize="9" scale="75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3"/>
  <sheetViews>
    <sheetView workbookViewId="0">
      <selection activeCell="E3" sqref="E3"/>
    </sheetView>
  </sheetViews>
  <sheetFormatPr defaultRowHeight="14.4"/>
  <cols>
    <col min="1" max="1" width="4.88671875" customWidth="1"/>
    <col min="2" max="2" width="36.33203125" customWidth="1"/>
    <col min="3" max="3" width="13" customWidth="1"/>
    <col min="4" max="4" width="14.33203125" customWidth="1"/>
    <col min="5" max="5" width="72.88671875" customWidth="1"/>
    <col min="6" max="6" width="11" bestFit="1" customWidth="1"/>
    <col min="7" max="7" width="6" customWidth="1"/>
  </cols>
  <sheetData>
    <row r="2" spans="2:8">
      <c r="B2" s="1" t="s">
        <v>0</v>
      </c>
    </row>
    <row r="3" spans="2:8">
      <c r="B3" t="s">
        <v>11</v>
      </c>
    </row>
    <row r="5" spans="2:8">
      <c r="B5" s="17" t="s">
        <v>1</v>
      </c>
      <c r="C5" s="17" t="s">
        <v>52</v>
      </c>
      <c r="D5" t="s">
        <v>53</v>
      </c>
      <c r="E5" s="18" t="s">
        <v>29</v>
      </c>
      <c r="F5" s="6">
        <f>C32*(C31/C16)</f>
        <v>833.78160919540232</v>
      </c>
    </row>
    <row r="6" spans="2:8">
      <c r="B6" s="28" t="s">
        <v>2</v>
      </c>
      <c r="C6" s="28" t="s">
        <v>54</v>
      </c>
      <c r="D6" t="s">
        <v>55</v>
      </c>
    </row>
    <row r="7" spans="2:8">
      <c r="B7" s="1"/>
      <c r="E7" s="22" t="s">
        <v>35</v>
      </c>
      <c r="H7" s="1" t="s">
        <v>49</v>
      </c>
    </row>
    <row r="8" spans="2:8">
      <c r="B8" s="28" t="s">
        <v>3</v>
      </c>
      <c r="C8" s="13">
        <v>1.72</v>
      </c>
    </row>
    <row r="9" spans="2:8">
      <c r="B9" s="28" t="s">
        <v>12</v>
      </c>
      <c r="C9" s="13">
        <v>1.19</v>
      </c>
      <c r="E9" s="23" t="s">
        <v>34</v>
      </c>
      <c r="F9" s="24">
        <f>(C16/C31)^1.95</f>
        <v>0.37180929338500063</v>
      </c>
      <c r="H9" s="8">
        <f>C13</f>
        <v>0.41599999999999998</v>
      </c>
    </row>
    <row r="10" spans="2:8">
      <c r="B10" s="28" t="s">
        <v>4</v>
      </c>
      <c r="C10" s="13">
        <v>37.43</v>
      </c>
      <c r="E10" s="23" t="s">
        <v>32</v>
      </c>
      <c r="F10" s="24">
        <f>(C16/C31)^((6.81/2)-2)</f>
        <v>0.49024167195088508</v>
      </c>
      <c r="H10" s="8">
        <f>C14</f>
        <v>0.42</v>
      </c>
    </row>
    <row r="11" spans="2:8">
      <c r="B11" s="28" t="s">
        <v>5</v>
      </c>
      <c r="C11" s="13">
        <v>0.16300000000000001</v>
      </c>
      <c r="E11" s="23" t="s">
        <v>33</v>
      </c>
      <c r="F11" s="24">
        <f>(C16/C31)^6.81</f>
        <v>3.1581014105660582E-2</v>
      </c>
      <c r="H11" s="8">
        <f>C15</f>
        <v>2.3300000000000001E-2</v>
      </c>
    </row>
    <row r="12" spans="2:8">
      <c r="B12" s="1"/>
      <c r="F12" s="4"/>
      <c r="H12" s="7"/>
    </row>
    <row r="13" spans="2:8">
      <c r="B13" s="17" t="s">
        <v>13</v>
      </c>
      <c r="C13" s="10">
        <v>0.41599999999999998</v>
      </c>
      <c r="E13" s="22" t="s">
        <v>36</v>
      </c>
      <c r="F13" s="4"/>
      <c r="H13" s="7"/>
    </row>
    <row r="14" spans="2:8">
      <c r="B14" s="17" t="s">
        <v>6</v>
      </c>
      <c r="C14" s="10">
        <v>0.42</v>
      </c>
      <c r="F14" s="4"/>
      <c r="H14" s="7"/>
    </row>
    <row r="15" spans="2:8">
      <c r="B15" s="17" t="s">
        <v>7</v>
      </c>
      <c r="C15" s="10">
        <v>2.3300000000000001E-2</v>
      </c>
      <c r="E15" s="25" t="s">
        <v>37</v>
      </c>
      <c r="F15" s="26">
        <f>C13^(1/1.95)</f>
        <v>0.63776876618482192</v>
      </c>
      <c r="H15" s="9">
        <f>C16/C31</f>
        <v>0.60207612456747406</v>
      </c>
    </row>
    <row r="16" spans="2:8">
      <c r="B16" s="17" t="s">
        <v>8</v>
      </c>
      <c r="C16" s="10">
        <v>3480</v>
      </c>
      <c r="E16" s="25" t="s">
        <v>41</v>
      </c>
      <c r="F16" s="27">
        <f>F15*C31</f>
        <v>3686.3034685482708</v>
      </c>
      <c r="H16" s="8">
        <f>C16</f>
        <v>3480</v>
      </c>
    </row>
    <row r="17" spans="2:8">
      <c r="B17" s="17" t="s">
        <v>9</v>
      </c>
      <c r="C17" s="10">
        <v>101.61</v>
      </c>
      <c r="E17" s="25" t="s">
        <v>32</v>
      </c>
      <c r="F17" s="26">
        <f>F15^( (6.81/2) - 2 )</f>
        <v>0.53155947191827047</v>
      </c>
      <c r="H17" s="8">
        <f>C14</f>
        <v>0.42</v>
      </c>
    </row>
    <row r="18" spans="2:8">
      <c r="B18" s="17" t="s">
        <v>10</v>
      </c>
      <c r="C18" s="10">
        <v>32.097999999999999</v>
      </c>
      <c r="E18" s="25" t="s">
        <v>33</v>
      </c>
      <c r="F18" s="26">
        <f>F15^6.81</f>
        <v>4.6747318972610731E-2</v>
      </c>
      <c r="H18" s="8">
        <f>C15</f>
        <v>2.3300000000000001E-2</v>
      </c>
    </row>
    <row r="19" spans="2:8">
      <c r="B19" s="1"/>
      <c r="H19" s="7"/>
    </row>
    <row r="20" spans="2:8">
      <c r="B20" s="18" t="s">
        <v>17</v>
      </c>
      <c r="C20" s="3">
        <v>149600000000</v>
      </c>
      <c r="E20" s="28" t="s">
        <v>28</v>
      </c>
      <c r="F20" s="29">
        <f>( C13*(C10/365)^2 )^(1/3)</f>
        <v>0.16354944899770996</v>
      </c>
      <c r="H20" s="8">
        <f>C11</f>
        <v>0.16300000000000001</v>
      </c>
    </row>
    <row r="21" spans="2:8">
      <c r="B21" s="19" t="s">
        <v>18</v>
      </c>
      <c r="C21" s="14">
        <v>1.99E+30</v>
      </c>
      <c r="E21" s="17" t="s">
        <v>38</v>
      </c>
      <c r="F21" s="32">
        <f>C29*C10*24*3600*C8*C22/( 2*PI()*(C11*C20)^2 )</f>
        <v>0.59284876203229808</v>
      </c>
      <c r="H21" s="7"/>
    </row>
    <row r="22" spans="2:8">
      <c r="B22" s="20" t="s">
        <v>19</v>
      </c>
      <c r="C22" s="15">
        <v>5.9700000000000003E+24</v>
      </c>
      <c r="E22" s="28" t="s">
        <v>48</v>
      </c>
      <c r="F22" s="30">
        <f>2*PI()*((F20*C20)^2)*F21/( C29*C22*C10*24*3600)</f>
        <v>1.7316152772035758</v>
      </c>
      <c r="H22" s="34">
        <f>C8</f>
        <v>1.72</v>
      </c>
    </row>
    <row r="23" spans="2:8">
      <c r="B23" s="19" t="s">
        <v>26</v>
      </c>
      <c r="C23" s="11">
        <v>696340</v>
      </c>
      <c r="E23" s="17" t="s">
        <v>39</v>
      </c>
      <c r="F23" s="33">
        <f>F21*F5/C26</f>
        <v>1.6487871741720869E-6</v>
      </c>
      <c r="H23" s="7"/>
    </row>
    <row r="24" spans="2:8">
      <c r="B24" s="20" t="s">
        <v>20</v>
      </c>
      <c r="C24" s="12">
        <v>6371</v>
      </c>
      <c r="E24" s="28" t="s">
        <v>43</v>
      </c>
      <c r="F24" s="30">
        <f>(1/1000)*2*PI()*F20*C20/( C10*24*3600)</f>
        <v>47.53647538460168</v>
      </c>
      <c r="H24" s="34">
        <f>(1/1000)*2*PI()*C11*C20/(C10*24*3600)</f>
        <v>47.376775251615605</v>
      </c>
    </row>
    <row r="25" spans="2:8">
      <c r="B25" s="19" t="s">
        <v>21</v>
      </c>
      <c r="C25" s="14">
        <v>3.8459999999999999E+26</v>
      </c>
    </row>
    <row r="26" spans="2:8">
      <c r="B26" s="18" t="s">
        <v>22</v>
      </c>
      <c r="C26" s="3">
        <v>299800000</v>
      </c>
    </row>
    <row r="27" spans="2:8">
      <c r="B27" s="18" t="s">
        <v>23</v>
      </c>
      <c r="C27" s="2">
        <f>365*24*3600</f>
        <v>31536000</v>
      </c>
      <c r="E27" s="28" t="s">
        <v>44</v>
      </c>
      <c r="F27" s="30">
        <f>(2*C14*C23/F24)/3600</f>
        <v>3.4179928574587732</v>
      </c>
    </row>
    <row r="28" spans="2:8">
      <c r="B28" s="18" t="s">
        <v>24</v>
      </c>
      <c r="C28" s="3">
        <f>C26*C27</f>
        <v>9454492800000000</v>
      </c>
      <c r="E28" s="17" t="s">
        <v>42</v>
      </c>
      <c r="F28" s="31">
        <f>100*((C9*C24)/(C14*C23))^2</f>
        <v>6.7199782256442034E-2</v>
      </c>
    </row>
    <row r="29" spans="2:8">
      <c r="B29" s="18" t="s">
        <v>25</v>
      </c>
      <c r="C29" s="3">
        <v>6.67E-11</v>
      </c>
    </row>
    <row r="30" spans="2:8">
      <c r="B30" s="21" t="s">
        <v>27</v>
      </c>
      <c r="C30" s="3">
        <v>5.6699999999999998E-8</v>
      </c>
      <c r="E30" s="5" t="s">
        <v>45</v>
      </c>
    </row>
    <row r="31" spans="2:8">
      <c r="B31" s="19" t="s">
        <v>30</v>
      </c>
      <c r="C31" s="16">
        <v>5780</v>
      </c>
      <c r="E31" s="5" t="s">
        <v>40</v>
      </c>
    </row>
    <row r="32" spans="2:8">
      <c r="B32" s="19" t="s">
        <v>31</v>
      </c>
      <c r="C32" s="16">
        <v>502</v>
      </c>
      <c r="E32" s="5" t="s">
        <v>50</v>
      </c>
    </row>
    <row r="33" spans="5:5">
      <c r="E33" s="5" t="s">
        <v>51</v>
      </c>
    </row>
  </sheetData>
  <hyperlinks>
    <hyperlink ref="E31" r:id="rId1"/>
    <hyperlink ref="E32" r:id="rId2"/>
    <hyperlink ref="E33" r:id="rId3"/>
    <hyperlink ref="E30" r:id="rId4"/>
  </hyperlinks>
  <pageMargins left="0.70866141732283472" right="0.70866141732283472" top="0.74803149606299213" bottom="0.74803149606299213" header="0.31496062992125984" footer="0.31496062992125984"/>
  <pageSetup paperSize="9" scale="74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Kepler 452b</vt:lpstr>
      <vt:lpstr>TOI 700d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2021-01-02T14:50:11Z</dcterms:modified>
</cp:coreProperties>
</file>