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8" i="1"/>
  <c r="J19"/>
  <c r="J20"/>
  <c r="J21"/>
  <c r="J22"/>
  <c r="J17"/>
  <c r="I19"/>
  <c r="I20"/>
  <c r="I21"/>
  <c r="I22"/>
  <c r="I18"/>
  <c r="H18"/>
  <c r="L18" s="1"/>
  <c r="H19"/>
  <c r="L19" s="1"/>
  <c r="H20"/>
  <c r="H21"/>
  <c r="H22"/>
  <c r="L22" s="1"/>
  <c r="H17"/>
  <c r="L17" s="1"/>
  <c r="G6"/>
  <c r="G19"/>
  <c r="G20"/>
  <c r="G21"/>
  <c r="G22"/>
  <c r="G18"/>
  <c r="G17"/>
  <c r="C25"/>
  <c r="C24"/>
  <c r="K22"/>
  <c r="L21"/>
  <c r="K21"/>
  <c r="L20"/>
  <c r="K20"/>
  <c r="K19"/>
  <c r="K18"/>
  <c r="L7"/>
  <c r="L8"/>
  <c r="L9"/>
  <c r="L10"/>
  <c r="L11"/>
  <c r="L6"/>
  <c r="K7"/>
  <c r="K8"/>
  <c r="K9"/>
  <c r="K10"/>
  <c r="K11"/>
  <c r="K6"/>
  <c r="F8"/>
  <c r="F9"/>
  <c r="F10"/>
  <c r="F11"/>
  <c r="F7"/>
  <c r="D7"/>
  <c r="D8"/>
  <c r="D9"/>
  <c r="D10"/>
  <c r="D11"/>
  <c r="D6"/>
  <c r="K2"/>
  <c r="H2"/>
  <c r="K17" l="1"/>
</calcChain>
</file>

<file path=xl/sharedStrings.xml><?xml version="1.0" encoding="utf-8"?>
<sst xmlns="http://schemas.openxmlformats.org/spreadsheetml/2006/main" count="50" uniqueCount="27">
  <si>
    <t>Star</t>
  </si>
  <si>
    <t>Mass /solar masses</t>
  </si>
  <si>
    <t>Parallax (milli-arc seconds)</t>
  </si>
  <si>
    <t xml:space="preserve">Redshift </t>
  </si>
  <si>
    <t>Distance /ly</t>
  </si>
  <si>
    <t>Radius /solar radii</t>
  </si>
  <si>
    <t>Surface temperature /K</t>
  </si>
  <si>
    <t>Sun</t>
  </si>
  <si>
    <t>-</t>
  </si>
  <si>
    <t>Sirius A</t>
  </si>
  <si>
    <t>Canopus</t>
  </si>
  <si>
    <t>Arcturus</t>
  </si>
  <si>
    <t>Vega</t>
  </si>
  <si>
    <t>Capella Aa</t>
  </si>
  <si>
    <t>peak wavelength/nm</t>
  </si>
  <si>
    <t>Luminosity /solar luminosity</t>
  </si>
  <si>
    <t>Cosmology &amp; Astrophysics problem sheet Question 2 solutions</t>
  </si>
  <si>
    <t>Source data (Wikipedia)</t>
  </si>
  <si>
    <t>Calculations as per the problem sheet.</t>
  </si>
  <si>
    <t>Solar radius /m</t>
  </si>
  <si>
    <t>Solar mass /kg</t>
  </si>
  <si>
    <t>Solar luminosity /Wm^-1</t>
  </si>
  <si>
    <r>
      <t>Recessional velocity /kms</t>
    </r>
    <r>
      <rPr>
        <vertAlign val="superscript"/>
        <sz val="12"/>
        <color theme="1"/>
        <rFont val="Arial"/>
        <family val="2"/>
      </rPr>
      <t>-1</t>
    </r>
  </si>
  <si>
    <r>
      <t>Average density /kgm</t>
    </r>
    <r>
      <rPr>
        <vertAlign val="superscript"/>
        <sz val="12"/>
        <color theme="1"/>
        <rFont val="Arial"/>
        <family val="2"/>
      </rPr>
      <t>-3</t>
    </r>
  </si>
  <si>
    <r>
      <t>Surface gravity /Nkg</t>
    </r>
    <r>
      <rPr>
        <vertAlign val="superscript"/>
        <sz val="12"/>
        <color theme="1"/>
        <rFont val="Arial"/>
        <family val="2"/>
      </rPr>
      <t>-1</t>
    </r>
  </si>
  <si>
    <t>Light year /m</t>
  </si>
  <si>
    <t>AU /m</t>
  </si>
</sst>
</file>

<file path=xl/styles.xml><?xml version="1.0" encoding="utf-8"?>
<styleSheet xmlns="http://schemas.openxmlformats.org/spreadsheetml/2006/main">
  <numFmts count="1">
    <numFmt numFmtId="169" formatCode="0.000E+00"/>
  </numFmts>
  <fonts count="7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sz val="11"/>
      <color theme="1"/>
      <name val="Arial"/>
      <family val="2"/>
    </font>
    <font>
      <sz val="12"/>
      <color rgb="FFFF0000"/>
      <name val="Arial"/>
      <family val="2"/>
    </font>
    <font>
      <sz val="12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left" vertical="top" wrapText="1"/>
    </xf>
    <xf numFmtId="0" fontId="4" fillId="0" borderId="0" xfId="0" applyFont="1"/>
    <xf numFmtId="0" fontId="5" fillId="0" borderId="1" xfId="0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top" wrapText="1"/>
    </xf>
    <xf numFmtId="11" fontId="5" fillId="0" borderId="1" xfId="0" applyNumberFormat="1" applyFont="1" applyBorder="1" applyAlignment="1">
      <alignment horizontal="left" vertical="top" wrapText="1"/>
    </xf>
    <xf numFmtId="11" fontId="2" fillId="0" borderId="1" xfId="0" applyNumberFormat="1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left" vertical="top" wrapText="1"/>
    </xf>
    <xf numFmtId="3" fontId="5" fillId="0" borderId="1" xfId="0" applyNumberFormat="1" applyFont="1" applyBorder="1" applyAlignment="1">
      <alignment horizontal="left" vertical="top" wrapText="1"/>
    </xf>
    <xf numFmtId="169" fontId="5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11" fontId="1" fillId="0" borderId="1" xfId="0" applyNumberFormat="1" applyFont="1" applyBorder="1"/>
    <xf numFmtId="0" fontId="1" fillId="0" borderId="1" xfId="0" applyFont="1" applyBorder="1"/>
    <xf numFmtId="169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4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tabSelected="1" workbookViewId="0">
      <selection activeCell="I18" sqref="I18"/>
    </sheetView>
  </sheetViews>
  <sheetFormatPr defaultRowHeight="15"/>
  <cols>
    <col min="1" max="1" width="13.109375" style="2" customWidth="1"/>
    <col min="2" max="2" width="14.5546875" style="2" customWidth="1"/>
    <col min="3" max="3" width="13.44140625" style="2" customWidth="1"/>
    <col min="4" max="4" width="17.77734375" style="2" customWidth="1"/>
    <col min="5" max="5" width="11.5546875" style="2" customWidth="1"/>
    <col min="6" max="6" width="12.6640625" style="2" customWidth="1"/>
    <col min="7" max="7" width="12.33203125" style="2" customWidth="1"/>
    <col min="8" max="8" width="12.5546875" style="2" customWidth="1"/>
    <col min="9" max="9" width="16.109375" style="2" customWidth="1"/>
    <col min="10" max="10" width="14.21875" style="2" customWidth="1"/>
    <col min="11" max="11" width="15" style="2" customWidth="1"/>
    <col min="12" max="12" width="16.109375" style="2" customWidth="1"/>
    <col min="13" max="13" width="13.44140625" style="2" customWidth="1"/>
    <col min="14" max="14" width="12" style="2" customWidth="1"/>
    <col min="15" max="16" width="8.88671875" style="2"/>
    <col min="17" max="17" width="9.33203125" style="2" bestFit="1" customWidth="1"/>
    <col min="18" max="16384" width="8.88671875" style="2"/>
  </cols>
  <sheetData>
    <row r="1" spans="1:14" ht="15.6">
      <c r="A1" s="1" t="s">
        <v>16</v>
      </c>
    </row>
    <row r="2" spans="1:14" ht="48.6" customHeight="1">
      <c r="G2" s="16" t="s">
        <v>19</v>
      </c>
      <c r="H2" s="17">
        <f>696340000</f>
        <v>696340000</v>
      </c>
      <c r="J2" s="16" t="s">
        <v>20</v>
      </c>
      <c r="K2" s="18">
        <f>1.99E+30</f>
        <v>1.99E+30</v>
      </c>
      <c r="M2" s="16" t="s">
        <v>21</v>
      </c>
      <c r="N2" s="17">
        <v>3.8459999999999999E+26</v>
      </c>
    </row>
    <row r="3" spans="1:14" ht="15.6">
      <c r="A3" s="1" t="s">
        <v>17</v>
      </c>
    </row>
    <row r="5" spans="1:14" ht="49.8">
      <c r="A5" s="3" t="s">
        <v>0</v>
      </c>
      <c r="B5" s="3" t="s">
        <v>15</v>
      </c>
      <c r="C5" s="3" t="s">
        <v>1</v>
      </c>
      <c r="D5" s="3" t="s">
        <v>14</v>
      </c>
      <c r="E5" s="3" t="s">
        <v>2</v>
      </c>
      <c r="F5" s="3" t="s">
        <v>3</v>
      </c>
      <c r="G5" s="3" t="s">
        <v>4</v>
      </c>
      <c r="H5" s="3" t="s">
        <v>5</v>
      </c>
      <c r="I5" s="3" t="s">
        <v>22</v>
      </c>
      <c r="J5" s="3" t="s">
        <v>6</v>
      </c>
      <c r="K5" s="3" t="s">
        <v>23</v>
      </c>
      <c r="L5" s="3" t="s">
        <v>24</v>
      </c>
    </row>
    <row r="6" spans="1:14">
      <c r="A6" s="3" t="s">
        <v>7</v>
      </c>
      <c r="B6" s="3">
        <v>1</v>
      </c>
      <c r="C6" s="3">
        <v>1</v>
      </c>
      <c r="D6" s="7">
        <f>(2899000)/J6</f>
        <v>501.73070266528208</v>
      </c>
      <c r="E6" s="3" t="s">
        <v>8</v>
      </c>
      <c r="F6" s="3" t="s">
        <v>8</v>
      </c>
      <c r="G6" s="14">
        <f>C25/C24</f>
        <v>1.5823165045934565E-5</v>
      </c>
      <c r="H6" s="12">
        <v>1</v>
      </c>
      <c r="I6" s="3" t="s">
        <v>8</v>
      </c>
      <c r="J6" s="4">
        <v>5778</v>
      </c>
      <c r="K6" s="9">
        <f>C6*$K$2/((4/3)*PI()*(H6*$H$2)^3 )</f>
        <v>1407.0205407248573</v>
      </c>
      <c r="L6" s="9">
        <f>0.0000000000667*C6*$K$2/(H6*$H$2)^2</f>
        <v>273.73871485837873</v>
      </c>
    </row>
    <row r="7" spans="1:14">
      <c r="A7" s="3" t="s">
        <v>9</v>
      </c>
      <c r="B7" s="3">
        <v>25.4</v>
      </c>
      <c r="C7" s="3">
        <v>2.06</v>
      </c>
      <c r="D7" s="7">
        <f t="shared" ref="D7:D11" si="0">(2899000)/J7</f>
        <v>291.64989939637826</v>
      </c>
      <c r="E7" s="3">
        <v>379.21</v>
      </c>
      <c r="F7" s="10">
        <f>I7*1000/299800000</f>
        <v>-1.8345563709139427E-5</v>
      </c>
      <c r="G7" s="3">
        <v>8.6</v>
      </c>
      <c r="H7" s="12">
        <v>1.71</v>
      </c>
      <c r="I7" s="3">
        <v>-5.5</v>
      </c>
      <c r="J7" s="4">
        <v>9940</v>
      </c>
      <c r="K7" s="9">
        <f t="shared" ref="K7:K11" si="1">C7*$K$2/((4/3)*PI()*(H7*$H$2)^3 )</f>
        <v>579.66800078900792</v>
      </c>
      <c r="L7" s="9">
        <f t="shared" ref="L7:L11" si="2">0.0000000000667*C7*$K$2/(H7*$H$2)^2</f>
        <v>192.84626127979899</v>
      </c>
    </row>
    <row r="8" spans="1:14">
      <c r="A8" s="3" t="s">
        <v>10</v>
      </c>
      <c r="B8" s="4">
        <v>10700</v>
      </c>
      <c r="C8" s="3">
        <v>8</v>
      </c>
      <c r="D8" s="7">
        <f t="shared" si="0"/>
        <v>394.42176870748301</v>
      </c>
      <c r="E8" s="3">
        <v>10.55</v>
      </c>
      <c r="F8" s="10">
        <f t="shared" ref="F8:F11" si="3">I8*1000/299800000</f>
        <v>6.7711807871914605E-5</v>
      </c>
      <c r="G8" s="3">
        <v>310</v>
      </c>
      <c r="H8" s="12">
        <v>71</v>
      </c>
      <c r="I8" s="3">
        <v>20.3</v>
      </c>
      <c r="J8" s="4">
        <v>7350</v>
      </c>
      <c r="K8" s="9">
        <f t="shared" si="1"/>
        <v>3.1449618273254688E-2</v>
      </c>
      <c r="L8" s="9">
        <f t="shared" si="2"/>
        <v>0.43441970221524095</v>
      </c>
    </row>
    <row r="9" spans="1:14">
      <c r="A9" s="3" t="s">
        <v>11</v>
      </c>
      <c r="B9" s="3">
        <v>170</v>
      </c>
      <c r="C9" s="3">
        <v>1.08</v>
      </c>
      <c r="D9" s="7">
        <f t="shared" si="0"/>
        <v>676.38824078394771</v>
      </c>
      <c r="E9" s="3">
        <v>88.83</v>
      </c>
      <c r="F9" s="10">
        <f t="shared" si="3"/>
        <v>-1.7311541027351569E-5</v>
      </c>
      <c r="G9" s="3">
        <v>36.659999999999997</v>
      </c>
      <c r="H9" s="12">
        <v>25.4</v>
      </c>
      <c r="I9" s="3">
        <v>-5.19</v>
      </c>
      <c r="J9" s="4">
        <v>4286</v>
      </c>
      <c r="K9" s="9">
        <f t="shared" si="1"/>
        <v>9.2730594326283583E-2</v>
      </c>
      <c r="L9" s="9">
        <f t="shared" si="2"/>
        <v>0.45823952515197636</v>
      </c>
    </row>
    <row r="10" spans="1:14">
      <c r="A10" s="3" t="s">
        <v>12</v>
      </c>
      <c r="B10" s="3">
        <v>40.119999999999997</v>
      </c>
      <c r="C10" s="3">
        <v>2.14</v>
      </c>
      <c r="D10" s="7">
        <f t="shared" si="0"/>
        <v>301.91626744428243</v>
      </c>
      <c r="E10" s="3">
        <v>130.22999999999999</v>
      </c>
      <c r="F10" s="10">
        <f t="shared" si="3"/>
        <v>-4.6364242828552369E-5</v>
      </c>
      <c r="G10" s="3">
        <v>25.04</v>
      </c>
      <c r="H10" s="12">
        <v>2.36</v>
      </c>
      <c r="I10" s="3">
        <v>-13.9</v>
      </c>
      <c r="J10" s="4">
        <v>9602</v>
      </c>
      <c r="K10" s="9">
        <f t="shared" si="1"/>
        <v>229.07526733739778</v>
      </c>
      <c r="L10" s="9">
        <f t="shared" si="2"/>
        <v>105.17826231631186</v>
      </c>
    </row>
    <row r="11" spans="1:14">
      <c r="A11" s="3" t="s">
        <v>13</v>
      </c>
      <c r="B11" s="3">
        <v>78.7</v>
      </c>
      <c r="C11" s="3">
        <v>2.57</v>
      </c>
      <c r="D11" s="7">
        <f t="shared" si="0"/>
        <v>583.29979879275652</v>
      </c>
      <c r="E11" s="3">
        <v>75.02</v>
      </c>
      <c r="F11" s="10">
        <f t="shared" si="3"/>
        <v>9.9866577718478981E-5</v>
      </c>
      <c r="G11" s="3">
        <v>42.92</v>
      </c>
      <c r="H11" s="12">
        <v>11.98</v>
      </c>
      <c r="I11" s="3">
        <v>29.94</v>
      </c>
      <c r="J11" s="4">
        <v>4970</v>
      </c>
      <c r="K11" s="9">
        <f t="shared" si="1"/>
        <v>2.1031154159837473</v>
      </c>
      <c r="L11" s="9">
        <f t="shared" si="2"/>
        <v>4.9018013967772758</v>
      </c>
    </row>
    <row r="14" spans="1:14" ht="15.6">
      <c r="A14" s="1" t="s">
        <v>18</v>
      </c>
    </row>
    <row r="16" spans="1:14" ht="49.8">
      <c r="A16" s="3" t="s">
        <v>0</v>
      </c>
      <c r="B16" s="3" t="s">
        <v>15</v>
      </c>
      <c r="C16" s="3" t="s">
        <v>1</v>
      </c>
      <c r="D16" s="3" t="s">
        <v>14</v>
      </c>
      <c r="E16" s="3" t="s">
        <v>2</v>
      </c>
      <c r="F16" s="3" t="s">
        <v>3</v>
      </c>
      <c r="G16" s="3" t="s">
        <v>4</v>
      </c>
      <c r="H16" s="3" t="s">
        <v>5</v>
      </c>
      <c r="I16" s="3" t="s">
        <v>22</v>
      </c>
      <c r="J16" s="3" t="s">
        <v>6</v>
      </c>
      <c r="K16" s="3" t="s">
        <v>23</v>
      </c>
      <c r="L16" s="3" t="s">
        <v>24</v>
      </c>
    </row>
    <row r="17" spans="1:15">
      <c r="A17" s="3" t="s">
        <v>7</v>
      </c>
      <c r="B17" s="3">
        <v>1</v>
      </c>
      <c r="C17" s="3">
        <v>1</v>
      </c>
      <c r="D17" s="8">
        <v>501.73070266528208</v>
      </c>
      <c r="E17" s="3" t="s">
        <v>8</v>
      </c>
      <c r="F17" s="3" t="s">
        <v>8</v>
      </c>
      <c r="G17" s="14">
        <f>C25/C24</f>
        <v>1.5823165045934565E-5</v>
      </c>
      <c r="H17" s="9">
        <f>( SQRT( B17*$N$2/(4*PI()*0.0000000567)) * ( D17/2899000 )^2 )/$H$2</f>
        <v>0.99938254601271903</v>
      </c>
      <c r="I17" s="6" t="s">
        <v>8</v>
      </c>
      <c r="J17" s="13">
        <f>2899000/D17</f>
        <v>5778</v>
      </c>
      <c r="K17" s="9">
        <f>C17*$K$2/((4/3)*PI()*(H17*$H$2)^3 )</f>
        <v>1409.630073923925</v>
      </c>
      <c r="L17" s="9">
        <f>0.0000000000667*C17*$K$2/(H17*$H$2)^2</f>
        <v>274.07707032644356</v>
      </c>
    </row>
    <row r="18" spans="1:15">
      <c r="A18" s="3" t="s">
        <v>9</v>
      </c>
      <c r="B18" s="3">
        <v>25.4</v>
      </c>
      <c r="C18" s="3">
        <v>2.06</v>
      </c>
      <c r="D18" s="8">
        <v>291.64989939637826</v>
      </c>
      <c r="E18" s="3">
        <v>379.21</v>
      </c>
      <c r="F18" s="11">
        <v>-1.8345563709139427E-5</v>
      </c>
      <c r="G18" s="9">
        <f>( $C$25/(E18*(PI()/180)*(1/1000)*(1/3600) ) )/$C$24</f>
        <v>8.6067405195419973</v>
      </c>
      <c r="H18" s="9">
        <f t="shared" ref="H18:H22" si="4">( SQRT( B18*$N$2/(4*PI()*0.0000000567)) * ( D18/2899000 )^2 )/$H$2</f>
        <v>1.7018877992151733</v>
      </c>
      <c r="I18" s="9">
        <f>F18*299800000/1000</f>
        <v>-5.5</v>
      </c>
      <c r="J18" s="13">
        <f t="shared" ref="J18:J22" si="5">2899000/D18</f>
        <v>9940</v>
      </c>
      <c r="K18" s="9">
        <f t="shared" ref="K18:K22" si="6">C18*$K$2/((4/3)*PI()*(H18*$H$2)^3 )</f>
        <v>587.99669288776715</v>
      </c>
      <c r="L18" s="9">
        <f t="shared" ref="L18:L22" si="7">0.0000000000667*C18*$K$2/(H18*$H$2)^2</f>
        <v>194.68908080921057</v>
      </c>
    </row>
    <row r="19" spans="1:15">
      <c r="A19" s="3" t="s">
        <v>10</v>
      </c>
      <c r="B19" s="4">
        <v>10700</v>
      </c>
      <c r="C19" s="3">
        <v>8</v>
      </c>
      <c r="D19" s="8">
        <v>394</v>
      </c>
      <c r="E19" s="3">
        <v>10.55</v>
      </c>
      <c r="F19" s="11">
        <v>6.7711807871914605E-5</v>
      </c>
      <c r="G19" s="9">
        <f t="shared" ref="G19:G22" si="8">( $C$25/(E19*(PI()/180)*(1/1000)*(1/3600) ) )/$C$24</f>
        <v>309.36133387824833</v>
      </c>
      <c r="H19" s="15">
        <f t="shared" si="4"/>
        <v>63.749199708982104</v>
      </c>
      <c r="I19" s="9">
        <f t="shared" ref="I19:I22" si="9">F19*299800000/1000</f>
        <v>20.3</v>
      </c>
      <c r="J19" s="13">
        <f t="shared" si="5"/>
        <v>7357.8680203045687</v>
      </c>
      <c r="K19" s="9">
        <f t="shared" si="6"/>
        <v>4.3447642196913078E-2</v>
      </c>
      <c r="L19" s="9">
        <f t="shared" si="7"/>
        <v>0.53886098019806705</v>
      </c>
    </row>
    <row r="20" spans="1:15">
      <c r="A20" s="3" t="s">
        <v>11</v>
      </c>
      <c r="B20" s="3">
        <v>170</v>
      </c>
      <c r="C20" s="3">
        <v>1.08</v>
      </c>
      <c r="D20" s="8">
        <v>676.38824078394771</v>
      </c>
      <c r="E20" s="3">
        <v>88.83</v>
      </c>
      <c r="F20" s="11">
        <v>-1.7311541027351569E-5</v>
      </c>
      <c r="G20" s="9">
        <f t="shared" si="8"/>
        <v>36.741664667516829</v>
      </c>
      <c r="H20" s="15">
        <f t="shared" si="4"/>
        <v>23.68137759575173</v>
      </c>
      <c r="I20" s="9">
        <f t="shared" si="9"/>
        <v>-5.19</v>
      </c>
      <c r="J20" s="13">
        <f t="shared" si="5"/>
        <v>4286</v>
      </c>
      <c r="K20" s="9">
        <f t="shared" si="6"/>
        <v>0.11442035879621616</v>
      </c>
      <c r="L20" s="9">
        <f t="shared" si="7"/>
        <v>0.52716437582677944</v>
      </c>
    </row>
    <row r="21" spans="1:15">
      <c r="A21" s="3" t="s">
        <v>12</v>
      </c>
      <c r="B21" s="3">
        <v>40.119999999999997</v>
      </c>
      <c r="C21" s="3">
        <v>2.14</v>
      </c>
      <c r="D21" s="8">
        <v>301.91626744428243</v>
      </c>
      <c r="E21" s="3">
        <v>130.22999999999999</v>
      </c>
      <c r="F21" s="11">
        <v>-4.6364242828552369E-5</v>
      </c>
      <c r="G21" s="9">
        <f t="shared" si="8"/>
        <v>25.061522478810723</v>
      </c>
      <c r="H21" s="9">
        <f t="shared" si="4"/>
        <v>2.2921545361457749</v>
      </c>
      <c r="I21" s="9">
        <f t="shared" si="9"/>
        <v>-13.9</v>
      </c>
      <c r="J21" s="13">
        <f t="shared" si="5"/>
        <v>9602</v>
      </c>
      <c r="K21" s="9">
        <f t="shared" si="6"/>
        <v>250.0244774357194</v>
      </c>
      <c r="L21" s="9">
        <f t="shared" si="7"/>
        <v>111.49675012330201</v>
      </c>
    </row>
    <row r="22" spans="1:15">
      <c r="A22" s="3" t="s">
        <v>13</v>
      </c>
      <c r="B22" s="3">
        <v>78.7</v>
      </c>
      <c r="C22" s="3">
        <v>2.57</v>
      </c>
      <c r="D22" s="8">
        <v>583.29979879275652</v>
      </c>
      <c r="E22" s="3">
        <v>75.02</v>
      </c>
      <c r="F22" s="11">
        <v>9.9866577718478981E-5</v>
      </c>
      <c r="G22" s="9">
        <f t="shared" si="8"/>
        <v>43.505226238543322</v>
      </c>
      <c r="H22" s="9">
        <f t="shared" si="4"/>
        <v>11.982885900715713</v>
      </c>
      <c r="I22" s="9">
        <f t="shared" si="9"/>
        <v>29.94</v>
      </c>
      <c r="J22" s="13">
        <f t="shared" si="5"/>
        <v>4970</v>
      </c>
      <c r="K22" s="9">
        <f t="shared" si="6"/>
        <v>2.1015962692445704</v>
      </c>
      <c r="L22" s="9">
        <f t="shared" si="7"/>
        <v>4.8994406284555936</v>
      </c>
    </row>
    <row r="24" spans="1:15" ht="15.6">
      <c r="B24" s="18" t="s">
        <v>25</v>
      </c>
      <c r="C24" s="19">
        <f>365*24*3600*299800000</f>
        <v>9454492800000000</v>
      </c>
    </row>
    <row r="25" spans="1:15" ht="15.6">
      <c r="B25" s="18" t="s">
        <v>26</v>
      </c>
      <c r="C25" s="19">
        <f>149600000000</f>
        <v>149600000000</v>
      </c>
    </row>
    <row r="26" spans="1:15">
      <c r="J26" s="5"/>
      <c r="O26" s="5"/>
    </row>
    <row r="29" spans="1:15">
      <c r="F29" s="5"/>
    </row>
  </sheetData>
  <pageMargins left="0.70866141732283472" right="0.70866141732283472" top="0.74803149606299213" bottom="0.74803149606299213" header="0.31496062992125984" footer="0.31496062992125984"/>
  <pageSetup paperSize="9" scale="59" orientation="landscape" r:id="rId1"/>
  <legacyDrawing r:id="rId2"/>
  <oleObjects>
    <oleObject progId="Equation.DSMT4" shapeId="1027" r:id="rId3"/>
    <oleObject progId="Equation.DSMT4" shapeId="1028" r:id="rId4"/>
    <oleObject progId="Equation.DSMT4" shapeId="1029" r:id="rId5"/>
    <oleObject progId="Equation.DSMT4" shapeId="1030" r:id="rId6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2021-01-01T12:00:27Z</dcterms:modified>
</cp:coreProperties>
</file>