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60" windowWidth="10215" windowHeight="4470" activeTab="1"/>
  </bookViews>
  <sheets>
    <sheet name="Raw data table" sheetId="1" r:id="rId1"/>
    <sheet name="Analysis" sheetId="2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2" i="2"/>
  <c r="X41"/>
  <c r="X40"/>
  <c r="X50"/>
  <c r="Y40"/>
  <c r="Y41"/>
  <c r="Y42"/>
  <c r="L35"/>
  <c r="L36"/>
  <c r="L37"/>
  <c r="L38"/>
  <c r="L39"/>
  <c r="L40"/>
  <c r="L41"/>
  <c r="L42"/>
  <c r="L43"/>
  <c r="L34"/>
  <c r="L22"/>
  <c r="L23"/>
  <c r="L24"/>
  <c r="L25"/>
  <c r="L26"/>
  <c r="L27"/>
  <c r="L28"/>
  <c r="L29"/>
  <c r="L30"/>
  <c r="L21"/>
  <c r="L8"/>
  <c r="L9"/>
  <c r="L10"/>
  <c r="L11"/>
  <c r="L12"/>
  <c r="L13"/>
  <c r="L14"/>
  <c r="L15"/>
  <c r="L16"/>
  <c r="L7"/>
  <c r="F36"/>
  <c r="F37"/>
  <c r="F38"/>
  <c r="F39"/>
  <c r="F40"/>
  <c r="F41"/>
  <c r="F42"/>
  <c r="F43"/>
  <c r="F44"/>
  <c r="F35"/>
  <c r="K22" l="1"/>
  <c r="K23"/>
  <c r="K24"/>
  <c r="K25"/>
  <c r="K26"/>
  <c r="K27"/>
  <c r="K28"/>
  <c r="K29"/>
  <c r="K30"/>
  <c r="K21"/>
  <c r="K35"/>
  <c r="K36"/>
  <c r="K37"/>
  <c r="K38"/>
  <c r="K39"/>
  <c r="K40"/>
  <c r="K41"/>
  <c r="K42"/>
  <c r="K43"/>
  <c r="K34"/>
  <c r="K8"/>
  <c r="K9"/>
  <c r="K10"/>
  <c r="K11"/>
  <c r="K12"/>
  <c r="K13"/>
  <c r="K14"/>
  <c r="K15"/>
  <c r="K16"/>
  <c r="K7"/>
  <c r="D44"/>
  <c r="D30"/>
  <c r="F30" s="1"/>
  <c r="D16"/>
  <c r="O62"/>
  <c r="P43"/>
  <c r="P42"/>
  <c r="P41"/>
  <c r="A19"/>
  <c r="I35"/>
  <c r="I36"/>
  <c r="I37"/>
  <c r="I38"/>
  <c r="I39"/>
  <c r="I40"/>
  <c r="I41"/>
  <c r="I42"/>
  <c r="I43"/>
  <c r="I34"/>
  <c r="I22"/>
  <c r="I23"/>
  <c r="I24"/>
  <c r="I25"/>
  <c r="I26"/>
  <c r="I27"/>
  <c r="I28"/>
  <c r="I29"/>
  <c r="I30"/>
  <c r="I21"/>
  <c r="I8"/>
  <c r="I9"/>
  <c r="I10"/>
  <c r="I11"/>
  <c r="I12"/>
  <c r="I13"/>
  <c r="I14"/>
  <c r="I15"/>
  <c r="I16"/>
  <c r="I7"/>
  <c r="J15"/>
  <c r="J14"/>
  <c r="J13"/>
  <c r="J12"/>
  <c r="J10"/>
  <c r="J9"/>
  <c r="J8"/>
  <c r="J7"/>
  <c r="E15"/>
  <c r="E14"/>
  <c r="E13"/>
  <c r="E12"/>
  <c r="E11"/>
  <c r="E10"/>
  <c r="E9"/>
  <c r="E8"/>
  <c r="E7"/>
  <c r="D36"/>
  <c r="D37"/>
  <c r="D38"/>
  <c r="D39"/>
  <c r="D40"/>
  <c r="D41"/>
  <c r="D42"/>
  <c r="D43"/>
  <c r="D35"/>
  <c r="D22"/>
  <c r="D23"/>
  <c r="D24"/>
  <c r="D25"/>
  <c r="D26"/>
  <c r="D27"/>
  <c r="D28"/>
  <c r="D29"/>
  <c r="D21"/>
  <c r="D8"/>
  <c r="D9"/>
  <c r="D10"/>
  <c r="D11"/>
  <c r="D12"/>
  <c r="D13"/>
  <c r="D14"/>
  <c r="D15"/>
  <c r="D7"/>
  <c r="F10" l="1"/>
  <c r="F23"/>
  <c r="F24"/>
  <c r="F16"/>
  <c r="F22"/>
  <c r="F28"/>
  <c r="F27"/>
  <c r="F12"/>
  <c r="F13"/>
  <c r="F9"/>
  <c r="F29"/>
  <c r="F25"/>
  <c r="F15"/>
  <c r="F11"/>
  <c r="F7"/>
  <c r="F8"/>
  <c r="F14"/>
  <c r="F21"/>
  <c r="F26"/>
</calcChain>
</file>

<file path=xl/comments1.xml><?xml version="1.0" encoding="utf-8"?>
<comments xmlns="http://schemas.openxmlformats.org/spreadsheetml/2006/main">
  <authors>
    <author>Andrew French</author>
  </authors>
  <commentList>
    <comment ref="E4" authorId="0">
      <text>
        <r>
          <rPr>
            <b/>
            <sz val="9"/>
            <color indexed="81"/>
            <rFont val="Tahoma"/>
            <family val="2"/>
          </rPr>
          <t>Andrew French:</t>
        </r>
        <r>
          <rPr>
            <sz val="9"/>
            <color indexed="81"/>
            <rFont val="Tahoma"/>
            <family val="2"/>
          </rPr>
          <t xml:space="preserve">
Estimate!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Andrew French:</t>
        </r>
        <r>
          <rPr>
            <sz val="9"/>
            <color indexed="81"/>
            <rFont val="Tahoma"/>
            <family val="2"/>
          </rPr>
          <t xml:space="preserve">
Assume to be 0.55
Not explicitly measured!</t>
        </r>
      </text>
    </comment>
    <comment ref="E18" authorId="0">
      <text>
        <r>
          <rPr>
            <b/>
            <sz val="9"/>
            <color indexed="81"/>
            <rFont val="Tahoma"/>
            <family val="2"/>
          </rPr>
          <t>Andrew French:</t>
        </r>
        <r>
          <rPr>
            <sz val="9"/>
            <color indexed="81"/>
            <rFont val="Tahoma"/>
            <family val="2"/>
          </rPr>
          <t xml:space="preserve">
Estimate!</t>
        </r>
      </text>
    </comment>
    <comment ref="E32" authorId="0">
      <text>
        <r>
          <rPr>
            <b/>
            <sz val="9"/>
            <color indexed="81"/>
            <rFont val="Tahoma"/>
            <family val="2"/>
          </rPr>
          <t>Andrew French:</t>
        </r>
        <r>
          <rPr>
            <sz val="9"/>
            <color indexed="81"/>
            <rFont val="Tahoma"/>
            <family val="2"/>
          </rPr>
          <t xml:space="preserve">
Estimate!</t>
        </r>
      </text>
    </comment>
  </commentList>
</comments>
</file>

<file path=xl/sharedStrings.xml><?xml version="1.0" encoding="utf-8"?>
<sst xmlns="http://schemas.openxmlformats.org/spreadsheetml/2006/main" count="69" uniqueCount="32">
  <si>
    <t>V/V</t>
  </si>
  <si>
    <t>Charging R/ohm</t>
  </si>
  <si>
    <t>Discharging R/ohm</t>
  </si>
  <si>
    <t>t/s</t>
  </si>
  <si>
    <t>Start V:</t>
  </si>
  <si>
    <t>Timing accuracy checking:</t>
  </si>
  <si>
    <t>Measured voltage /V</t>
  </si>
  <si>
    <t>Voltage sans offset /V</t>
  </si>
  <si>
    <t>Charging time /s</t>
  </si>
  <si>
    <t>Added resistance/ohms</t>
  </si>
  <si>
    <t>Discharging time /s</t>
  </si>
  <si>
    <t>Voltage offset /V</t>
  </si>
  <si>
    <t>4P1 capacitor charging and discharging practical. Winchester College. Friday 1st May 2015.</t>
  </si>
  <si>
    <t>Standard deviation of timings /s</t>
  </si>
  <si>
    <t>Theoretical model</t>
  </si>
  <si>
    <t>Charging</t>
  </si>
  <si>
    <t>Discharging</t>
  </si>
  <si>
    <t>R added/ohm</t>
  </si>
  <si>
    <t>RC from trendline</t>
  </si>
  <si>
    <t>V0 from trendline /V</t>
  </si>
  <si>
    <t>From exponential fits of discharge curves</t>
  </si>
  <si>
    <t>Capacitance C /F</t>
  </si>
  <si>
    <t>R0 /ohms</t>
  </si>
  <si>
    <t>RC</t>
  </si>
  <si>
    <t>model charge times/s</t>
  </si>
  <si>
    <t>V0</t>
  </si>
  <si>
    <t>Analysis by Dr Andrew French.</t>
  </si>
  <si>
    <t>ln(V0/V)</t>
  </si>
  <si>
    <t>`</t>
  </si>
  <si>
    <t>RC from trendline /s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</si>
  <si>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</si>
  <si>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Ln(V)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</si>
</sst>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2" fontId="0" fillId="0" borderId="3" xfId="0" applyNumberFormat="1" applyBorder="1"/>
    <xf numFmtId="2" fontId="0" fillId="0" borderId="6" xfId="0" applyNumberFormat="1" applyBorder="1"/>
    <xf numFmtId="2" fontId="0" fillId="0" borderId="7" xfId="0" applyNumberFormat="1" applyBorder="1"/>
    <xf numFmtId="0" fontId="0" fillId="0" borderId="8" xfId="0" applyNumberFormat="1" applyBorder="1"/>
    <xf numFmtId="0" fontId="0" fillId="0" borderId="9" xfId="0" applyBorder="1"/>
    <xf numFmtId="0" fontId="0" fillId="0" borderId="4" xfId="0" applyBorder="1"/>
    <xf numFmtId="0" fontId="1" fillId="0" borderId="2" xfId="0" applyFont="1" applyBorder="1"/>
    <xf numFmtId="0" fontId="1" fillId="0" borderId="5" xfId="0" applyFont="1" applyBorder="1"/>
    <xf numFmtId="2" fontId="0" fillId="0" borderId="9" xfId="0" applyNumberFormat="1" applyBorder="1"/>
    <xf numFmtId="2" fontId="0" fillId="0" borderId="4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NumberFormat="1" applyFont="1" applyFill="1" applyBorder="1" applyAlignment="1">
      <alignment wrapText="1"/>
    </xf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1" xfId="0" applyFill="1" applyBorder="1"/>
    <xf numFmtId="2" fontId="0" fillId="0" borderId="1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1" xfId="0" applyFont="1" applyBorder="1"/>
    <xf numFmtId="0" fontId="6" fillId="0" borderId="0" xfId="0" applyFont="1" applyAlignment="1">
      <alignment horizontal="left"/>
    </xf>
    <xf numFmtId="0" fontId="1" fillId="0" borderId="1" xfId="0" applyFont="1" applyBorder="1"/>
    <xf numFmtId="0" fontId="1" fillId="0" borderId="0" xfId="0" applyFont="1" applyFill="1" applyBorder="1"/>
    <xf numFmtId="0" fontId="5" fillId="0" borderId="0" xfId="0" applyFont="1" applyFill="1" applyBorder="1"/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200" baseline="0"/>
              <a:t>Capacitor charging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0 ohm added</c:v>
          </c:tx>
          <c:spPr>
            <a:ln w="19050">
              <a:noFill/>
            </a:ln>
          </c:spPr>
          <c:marker>
            <c:symbol val="plus"/>
            <c:size val="5"/>
            <c:spPr>
              <a:noFill/>
            </c:spPr>
          </c:marker>
          <c:xVal>
            <c:numRef>
              <c:f>Analysis!$E$7:$E$15</c:f>
              <c:numCache>
                <c:formatCode>General</c:formatCode>
                <c:ptCount val="9"/>
                <c:pt idx="0">
                  <c:v>0.15</c:v>
                </c:pt>
                <c:pt idx="1">
                  <c:v>0.44500000000000001</c:v>
                </c:pt>
                <c:pt idx="2">
                  <c:v>0.57000000000000006</c:v>
                </c:pt>
                <c:pt idx="3">
                  <c:v>0.6399999999999999</c:v>
                </c:pt>
                <c:pt idx="4">
                  <c:v>0.94</c:v>
                </c:pt>
                <c:pt idx="5">
                  <c:v>1.26</c:v>
                </c:pt>
                <c:pt idx="6">
                  <c:v>1.4849999999999999</c:v>
                </c:pt>
                <c:pt idx="7">
                  <c:v>1.97</c:v>
                </c:pt>
                <c:pt idx="8">
                  <c:v>2.33</c:v>
                </c:pt>
              </c:numCache>
            </c:numRef>
          </c:xVal>
          <c:yVal>
            <c:numRef>
              <c:f>Analysis!$D$7:$D$15</c:f>
              <c:numCache>
                <c:formatCode>0.00</c:formatCode>
                <c:ptCount val="9"/>
                <c:pt idx="0">
                  <c:v>0.44999999999999996</c:v>
                </c:pt>
                <c:pt idx="1">
                  <c:v>1.45</c:v>
                </c:pt>
                <c:pt idx="2">
                  <c:v>2.4500000000000002</c:v>
                </c:pt>
                <c:pt idx="3">
                  <c:v>3.45</c:v>
                </c:pt>
                <c:pt idx="4">
                  <c:v>4.45</c:v>
                </c:pt>
                <c:pt idx="5">
                  <c:v>5.45</c:v>
                </c:pt>
                <c:pt idx="6">
                  <c:v>6.45</c:v>
                </c:pt>
                <c:pt idx="7">
                  <c:v>7.45</c:v>
                </c:pt>
                <c:pt idx="8">
                  <c:v>8.4499999999999993</c:v>
                </c:pt>
              </c:numCache>
            </c:numRef>
          </c:yVal>
        </c:ser>
        <c:ser>
          <c:idx val="1"/>
          <c:order val="1"/>
          <c:tx>
            <c:v>100 ohm added</c:v>
          </c:tx>
          <c:spPr>
            <a:ln w="19050">
              <a:noFill/>
            </a:ln>
          </c:spPr>
          <c:marker>
            <c:symbol val="plus"/>
            <c:size val="5"/>
          </c:marker>
          <c:xVal>
            <c:numRef>
              <c:f>Analysis!$E$21:$E$29</c:f>
              <c:numCache>
                <c:formatCode>General</c:formatCode>
                <c:ptCount val="9"/>
                <c:pt idx="0">
                  <c:v>0.86</c:v>
                </c:pt>
                <c:pt idx="1">
                  <c:v>2.92</c:v>
                </c:pt>
                <c:pt idx="2">
                  <c:v>4.32</c:v>
                </c:pt>
                <c:pt idx="3">
                  <c:v>6.51</c:v>
                </c:pt>
                <c:pt idx="4">
                  <c:v>8.44</c:v>
                </c:pt>
                <c:pt idx="5">
                  <c:v>10.98</c:v>
                </c:pt>
                <c:pt idx="6">
                  <c:v>15.33</c:v>
                </c:pt>
                <c:pt idx="7">
                  <c:v>23.43</c:v>
                </c:pt>
                <c:pt idx="8">
                  <c:v>35.6</c:v>
                </c:pt>
              </c:numCache>
            </c:numRef>
          </c:xVal>
          <c:yVal>
            <c:numRef>
              <c:f>Analysis!$D$21:$D$29</c:f>
              <c:numCache>
                <c:formatCode>0.00</c:formatCode>
                <c:ptCount val="9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5.5</c:v>
                </c:pt>
                <c:pt idx="6">
                  <c:v>6.5</c:v>
                </c:pt>
                <c:pt idx="7">
                  <c:v>7.5</c:v>
                </c:pt>
                <c:pt idx="8">
                  <c:v>8.5</c:v>
                </c:pt>
              </c:numCache>
            </c:numRef>
          </c:yVal>
        </c:ser>
        <c:ser>
          <c:idx val="2"/>
          <c:order val="2"/>
          <c:tx>
            <c:v>330 ohm added</c:v>
          </c:tx>
          <c:spPr>
            <a:ln w="19050">
              <a:noFill/>
            </a:ln>
          </c:spPr>
          <c:marker>
            <c:symbol val="plus"/>
            <c:size val="5"/>
            <c:spPr>
              <a:ln>
                <a:solidFill>
                  <a:srgbClr val="FF0000"/>
                </a:solidFill>
              </a:ln>
            </c:spPr>
          </c:marker>
          <c:xVal>
            <c:numRef>
              <c:f>Analysis!$E$35:$E$42</c:f>
              <c:numCache>
                <c:formatCode>General</c:formatCode>
                <c:ptCount val="8"/>
                <c:pt idx="0">
                  <c:v>1.86</c:v>
                </c:pt>
                <c:pt idx="1">
                  <c:v>7.79</c:v>
                </c:pt>
                <c:pt idx="2">
                  <c:v>12.28</c:v>
                </c:pt>
                <c:pt idx="3">
                  <c:v>19.32</c:v>
                </c:pt>
                <c:pt idx="4">
                  <c:v>26.57</c:v>
                </c:pt>
                <c:pt idx="5">
                  <c:v>39.49</c:v>
                </c:pt>
                <c:pt idx="6">
                  <c:v>53.4</c:v>
                </c:pt>
                <c:pt idx="7">
                  <c:v>93.6</c:v>
                </c:pt>
              </c:numCache>
            </c:numRef>
          </c:xVal>
          <c:yVal>
            <c:numRef>
              <c:f>Analysis!$D$35:$D$42</c:f>
              <c:numCache>
                <c:formatCode>0.00</c:formatCode>
                <c:ptCount val="8"/>
                <c:pt idx="0">
                  <c:v>0.4</c:v>
                </c:pt>
                <c:pt idx="1">
                  <c:v>1.4</c:v>
                </c:pt>
                <c:pt idx="2">
                  <c:v>2.4</c:v>
                </c:pt>
                <c:pt idx="3">
                  <c:v>3.4</c:v>
                </c:pt>
                <c:pt idx="4">
                  <c:v>4.4000000000000004</c:v>
                </c:pt>
                <c:pt idx="5">
                  <c:v>5.4</c:v>
                </c:pt>
                <c:pt idx="6">
                  <c:v>6.4</c:v>
                </c:pt>
                <c:pt idx="7">
                  <c:v>7.4</c:v>
                </c:pt>
              </c:numCache>
            </c:numRef>
          </c:yVal>
        </c:ser>
        <c:ser>
          <c:idx val="3"/>
          <c:order val="3"/>
          <c:tx>
            <c:v>0 ohm added MODEL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Analysis!$F$7:$F$16</c:f>
              <c:numCache>
                <c:formatCode>General</c:formatCode>
                <c:ptCount val="10"/>
                <c:pt idx="0">
                  <c:v>6.8853448510702991E-2</c:v>
                </c:pt>
                <c:pt idx="1">
                  <c:v>0.23573228906639174</c:v>
                </c:pt>
                <c:pt idx="2">
                  <c:v>0.42618839671726405</c:v>
                </c:pt>
                <c:pt idx="3">
                  <c:v>0.64799751596048716</c:v>
                </c:pt>
                <c:pt idx="4">
                  <c:v>0.91355641319266034</c:v>
                </c:pt>
                <c:pt idx="5">
                  <c:v>1.2444717315371903</c:v>
                </c:pt>
                <c:pt idx="6">
                  <c:v>1.6837919721239378</c:v>
                </c:pt>
                <c:pt idx="7">
                  <c:v>2.3392275234292335</c:v>
                </c:pt>
                <c:pt idx="8">
                  <c:v>3.6633470149950615</c:v>
                </c:pt>
                <c:pt idx="9">
                  <c:v>6.08222229845292</c:v>
                </c:pt>
              </c:numCache>
            </c:numRef>
          </c:xVal>
          <c:yVal>
            <c:numRef>
              <c:f>Analysis!$D$7:$D$16</c:f>
              <c:numCache>
                <c:formatCode>0.00</c:formatCode>
                <c:ptCount val="10"/>
                <c:pt idx="0">
                  <c:v>0.44999999999999996</c:v>
                </c:pt>
                <c:pt idx="1">
                  <c:v>1.45</c:v>
                </c:pt>
                <c:pt idx="2">
                  <c:v>2.4500000000000002</c:v>
                </c:pt>
                <c:pt idx="3">
                  <c:v>3.45</c:v>
                </c:pt>
                <c:pt idx="4">
                  <c:v>4.45</c:v>
                </c:pt>
                <c:pt idx="5">
                  <c:v>5.45</c:v>
                </c:pt>
                <c:pt idx="6">
                  <c:v>6.45</c:v>
                </c:pt>
                <c:pt idx="7">
                  <c:v>7.45</c:v>
                </c:pt>
                <c:pt idx="8">
                  <c:v>8.4499999999999993</c:v>
                </c:pt>
                <c:pt idx="9">
                  <c:v>8.9499999999999993</c:v>
                </c:pt>
              </c:numCache>
            </c:numRef>
          </c:yVal>
        </c:ser>
        <c:ser>
          <c:idx val="4"/>
          <c:order val="4"/>
          <c:tx>
            <c:v>100 ohm added MODEL</c:v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Analysis!$F$21:$F$30</c:f>
              <c:numCache>
                <c:formatCode>General</c:formatCode>
                <c:ptCount val="10"/>
                <c:pt idx="0">
                  <c:v>0.79087413502701909</c:v>
                </c:pt>
                <c:pt idx="1">
                  <c:v>2.5122611710744613</c:v>
                </c:pt>
                <c:pt idx="2">
                  <c:v>4.4610650491488579</c:v>
                </c:pt>
                <c:pt idx="3">
                  <c:v>6.706655361953203</c:v>
                </c:pt>
                <c:pt idx="4">
                  <c:v>9.3559539715771614</c:v>
                </c:pt>
                <c:pt idx="5">
                  <c:v>12.586638321276199</c:v>
                </c:pt>
                <c:pt idx="6">
                  <c:v>16.727760516248683</c:v>
                </c:pt>
                <c:pt idx="7">
                  <c:v>22.502934274508121</c:v>
                </c:pt>
                <c:pt idx="8">
                  <c:v>32.118002955503933</c:v>
                </c:pt>
                <c:pt idx="9">
                  <c:v>41.183983129540906</c:v>
                </c:pt>
              </c:numCache>
            </c:numRef>
          </c:xVal>
          <c:yVal>
            <c:numRef>
              <c:f>Analysis!$D$21:$D$30</c:f>
              <c:numCache>
                <c:formatCode>0.00</c:formatCode>
                <c:ptCount val="10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5.5</c:v>
                </c:pt>
                <c:pt idx="6">
                  <c:v>6.5</c:v>
                </c:pt>
                <c:pt idx="7">
                  <c:v>7.5</c:v>
                </c:pt>
                <c:pt idx="8">
                  <c:v>8.5</c:v>
                </c:pt>
                <c:pt idx="9">
                  <c:v>9</c:v>
                </c:pt>
              </c:numCache>
            </c:numRef>
          </c:yVal>
        </c:ser>
        <c:ser>
          <c:idx val="5"/>
          <c:order val="5"/>
          <c:tx>
            <c:v>330 ohm added MODEL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Analysis!$F$35:$F$44</c:f>
              <c:numCache>
                <c:formatCode>General</c:formatCode>
                <c:ptCount val="10"/>
                <c:pt idx="0">
                  <c:v>1.8568758405183072</c:v>
                </c:pt>
                <c:pt idx="1">
                  <c:v>6.8712774688461504</c:v>
                </c:pt>
                <c:pt idx="2">
                  <c:v>12.526912738240709</c:v>
                </c:pt>
                <c:pt idx="3">
                  <c:v>19.012164822811091</c:v>
                </c:pt>
                <c:pt idx="4">
                  <c:v>26.612964776134028</c:v>
                </c:pt>
                <c:pt idx="5">
                  <c:v>35.794480555325528</c:v>
                </c:pt>
                <c:pt idx="6">
                  <c:v>47.391569356283163</c:v>
                </c:pt>
                <c:pt idx="7">
                  <c:v>63.147273537252445</c:v>
                </c:pt>
                <c:pt idx="8">
                  <c:v>87.832546183465112</c:v>
                </c:pt>
                <c:pt idx="9">
                  <c:v>108.51232467250954</c:v>
                </c:pt>
              </c:numCache>
            </c:numRef>
          </c:xVal>
          <c:yVal>
            <c:numRef>
              <c:f>Analysis!$D$35:$D$44</c:f>
              <c:numCache>
                <c:formatCode>0.00</c:formatCode>
                <c:ptCount val="10"/>
                <c:pt idx="0">
                  <c:v>0.4</c:v>
                </c:pt>
                <c:pt idx="1">
                  <c:v>1.4</c:v>
                </c:pt>
                <c:pt idx="2">
                  <c:v>2.4</c:v>
                </c:pt>
                <c:pt idx="3">
                  <c:v>3.4</c:v>
                </c:pt>
                <c:pt idx="4">
                  <c:v>4.4000000000000004</c:v>
                </c:pt>
                <c:pt idx="5">
                  <c:v>5.4</c:v>
                </c:pt>
                <c:pt idx="6">
                  <c:v>6.4</c:v>
                </c:pt>
                <c:pt idx="7">
                  <c:v>7.4</c:v>
                </c:pt>
                <c:pt idx="8">
                  <c:v>8.4</c:v>
                </c:pt>
                <c:pt idx="9">
                  <c:v>8.9</c:v>
                </c:pt>
              </c:numCache>
            </c:numRef>
          </c:yVal>
        </c:ser>
        <c:axId val="89478272"/>
        <c:axId val="92218496"/>
      </c:scatterChart>
      <c:valAx>
        <c:axId val="8947827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2218496"/>
        <c:crosses val="autoZero"/>
        <c:crossBetween val="midCat"/>
      </c:valAx>
      <c:valAx>
        <c:axId val="92218496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Voltage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8947827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200" baseline="0"/>
              <a:t>Capacitor discharging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0 ohm added</c:v>
          </c:tx>
          <c:spPr>
            <a:ln w="19050">
              <a:noFill/>
            </a:ln>
          </c:spPr>
          <c:marker>
            <c:symbol val="plus"/>
            <c:size val="5"/>
            <c:spPr>
              <a:noFill/>
            </c:spPr>
          </c:marker>
          <c:trendline>
            <c:spPr>
              <a:ln>
                <a:solidFill>
                  <a:schemeClr val="accent1">
                    <a:lumMod val="75000"/>
                  </a:schemeClr>
                </a:solidFill>
              </a:ln>
            </c:spPr>
            <c:trendlineType val="exp"/>
            <c:dispRSqr val="1"/>
            <c:dispEq val="1"/>
            <c:trendlineLbl>
              <c:layout>
                <c:manualLayout>
                  <c:x val="0.11638591117917305"/>
                  <c:y val="-2.2602249296218051E-2"/>
                </c:manualLayout>
              </c:layout>
              <c:numFmt formatCode="General" sourceLinked="0"/>
            </c:trendlineLbl>
          </c:trendline>
          <c:xVal>
            <c:numRef>
              <c:f>Analysis!$J$7:$J$16</c:f>
              <c:numCache>
                <c:formatCode>General</c:formatCode>
                <c:ptCount val="10"/>
                <c:pt idx="0">
                  <c:v>4.18</c:v>
                </c:pt>
                <c:pt idx="1">
                  <c:v>2.3250000000000002</c:v>
                </c:pt>
                <c:pt idx="2">
                  <c:v>1.44</c:v>
                </c:pt>
                <c:pt idx="3">
                  <c:v>1.335</c:v>
                </c:pt>
                <c:pt idx="4">
                  <c:v>0.97</c:v>
                </c:pt>
                <c:pt idx="5">
                  <c:v>0.78499999999999992</c:v>
                </c:pt>
                <c:pt idx="6">
                  <c:v>0.56499999999999995</c:v>
                </c:pt>
                <c:pt idx="7">
                  <c:v>0.28999999999999998</c:v>
                </c:pt>
                <c:pt idx="8">
                  <c:v>0.16500000000000001</c:v>
                </c:pt>
                <c:pt idx="9">
                  <c:v>0</c:v>
                </c:pt>
              </c:numCache>
            </c:numRef>
          </c:xVal>
          <c:yVal>
            <c:numRef>
              <c:f>Analysis!$I$7:$I$16</c:f>
              <c:numCache>
                <c:formatCode>General</c:formatCode>
                <c:ptCount val="10"/>
                <c:pt idx="0">
                  <c:v>0.44999999999999996</c:v>
                </c:pt>
                <c:pt idx="1">
                  <c:v>1.45</c:v>
                </c:pt>
                <c:pt idx="2">
                  <c:v>2.4500000000000002</c:v>
                </c:pt>
                <c:pt idx="3">
                  <c:v>3.45</c:v>
                </c:pt>
                <c:pt idx="4">
                  <c:v>4.45</c:v>
                </c:pt>
                <c:pt idx="5">
                  <c:v>5.45</c:v>
                </c:pt>
                <c:pt idx="6">
                  <c:v>6.45</c:v>
                </c:pt>
                <c:pt idx="7">
                  <c:v>7.45</c:v>
                </c:pt>
                <c:pt idx="8">
                  <c:v>8.4499999999999993</c:v>
                </c:pt>
                <c:pt idx="9">
                  <c:v>8.85</c:v>
                </c:pt>
              </c:numCache>
            </c:numRef>
          </c:yVal>
        </c:ser>
        <c:ser>
          <c:idx val="1"/>
          <c:order val="1"/>
          <c:tx>
            <c:v>100 ohm added</c:v>
          </c:tx>
          <c:spPr>
            <a:ln w="19050">
              <a:noFill/>
            </a:ln>
          </c:spPr>
          <c:marker>
            <c:symbol val="plus"/>
            <c:size val="5"/>
          </c:marke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exp"/>
            <c:dispRSqr val="1"/>
            <c:dispEq val="1"/>
            <c:trendlineLbl>
              <c:layout>
                <c:manualLayout>
                  <c:x val="0.13690771042593641"/>
                  <c:y val="-2.8854259969926351E-2"/>
                </c:manualLayout>
              </c:layout>
              <c:numFmt formatCode="General" sourceLinked="0"/>
            </c:trendlineLbl>
          </c:trendline>
          <c:xVal>
            <c:numRef>
              <c:f>Analysis!$J$21:$J$30</c:f>
              <c:numCache>
                <c:formatCode>General</c:formatCode>
                <c:ptCount val="10"/>
                <c:pt idx="0">
                  <c:v>45.55</c:v>
                </c:pt>
                <c:pt idx="1">
                  <c:v>27.06</c:v>
                </c:pt>
                <c:pt idx="2">
                  <c:v>19.55</c:v>
                </c:pt>
                <c:pt idx="3">
                  <c:v>15.35</c:v>
                </c:pt>
                <c:pt idx="4">
                  <c:v>11.69</c:v>
                </c:pt>
                <c:pt idx="5">
                  <c:v>8.73</c:v>
                </c:pt>
                <c:pt idx="6">
                  <c:v>6.49</c:v>
                </c:pt>
                <c:pt idx="7">
                  <c:v>4.42</c:v>
                </c:pt>
                <c:pt idx="8">
                  <c:v>1.48</c:v>
                </c:pt>
                <c:pt idx="9">
                  <c:v>0</c:v>
                </c:pt>
              </c:numCache>
            </c:numRef>
          </c:xVal>
          <c:yVal>
            <c:numRef>
              <c:f>Analysis!$I$21:$I$30</c:f>
              <c:numCache>
                <c:formatCode>General</c:formatCode>
                <c:ptCount val="10"/>
                <c:pt idx="0">
                  <c:v>0.44999999999999996</c:v>
                </c:pt>
                <c:pt idx="1">
                  <c:v>1.45</c:v>
                </c:pt>
                <c:pt idx="2">
                  <c:v>2.4500000000000002</c:v>
                </c:pt>
                <c:pt idx="3">
                  <c:v>3.45</c:v>
                </c:pt>
                <c:pt idx="4">
                  <c:v>4.45</c:v>
                </c:pt>
                <c:pt idx="5">
                  <c:v>5.45</c:v>
                </c:pt>
                <c:pt idx="6">
                  <c:v>6.45</c:v>
                </c:pt>
                <c:pt idx="7">
                  <c:v>7.45</c:v>
                </c:pt>
                <c:pt idx="8">
                  <c:v>8.4499999999999993</c:v>
                </c:pt>
                <c:pt idx="9">
                  <c:v>9.0499999999999989</c:v>
                </c:pt>
              </c:numCache>
            </c:numRef>
          </c:yVal>
        </c:ser>
        <c:ser>
          <c:idx val="2"/>
          <c:order val="2"/>
          <c:tx>
            <c:v>330 ohm added</c:v>
          </c:tx>
          <c:spPr>
            <a:ln w="19050">
              <a:noFill/>
            </a:ln>
          </c:spPr>
          <c:marker>
            <c:symbol val="plus"/>
            <c:size val="5"/>
            <c:spPr>
              <a:ln>
                <a:solidFill>
                  <a:srgbClr val="FF0000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exp"/>
            <c:dispRSqr val="1"/>
            <c:dispEq val="1"/>
            <c:trendlineLbl>
              <c:layout>
                <c:manualLayout>
                  <c:x val="-8.0198880193574726E-2"/>
                  <c:y val="-9.7626377380717819E-2"/>
                </c:manualLayout>
              </c:layout>
              <c:numFmt formatCode="General" sourceLinked="0"/>
            </c:trendlineLbl>
          </c:trendline>
          <c:xVal>
            <c:numRef>
              <c:f>Analysis!$J$34:$J$43</c:f>
              <c:numCache>
                <c:formatCode>General</c:formatCode>
                <c:ptCount val="10"/>
                <c:pt idx="0">
                  <c:v>136</c:v>
                </c:pt>
                <c:pt idx="1">
                  <c:v>86.05</c:v>
                </c:pt>
                <c:pt idx="2">
                  <c:v>60.76</c:v>
                </c:pt>
                <c:pt idx="3">
                  <c:v>45.08</c:v>
                </c:pt>
                <c:pt idx="4">
                  <c:v>33.74</c:v>
                </c:pt>
                <c:pt idx="5">
                  <c:v>25.88</c:v>
                </c:pt>
                <c:pt idx="6">
                  <c:v>17.43</c:v>
                </c:pt>
                <c:pt idx="7">
                  <c:v>11.7</c:v>
                </c:pt>
                <c:pt idx="8">
                  <c:v>5.79</c:v>
                </c:pt>
                <c:pt idx="9">
                  <c:v>6.64</c:v>
                </c:pt>
              </c:numCache>
            </c:numRef>
          </c:xVal>
          <c:yVal>
            <c:numRef>
              <c:f>Analysis!$I$34:$I$43</c:f>
              <c:numCache>
                <c:formatCode>General</c:formatCode>
                <c:ptCount val="10"/>
                <c:pt idx="0">
                  <c:v>0.44999999999999996</c:v>
                </c:pt>
                <c:pt idx="1">
                  <c:v>1.45</c:v>
                </c:pt>
                <c:pt idx="2">
                  <c:v>2.4500000000000002</c:v>
                </c:pt>
                <c:pt idx="3">
                  <c:v>3.45</c:v>
                </c:pt>
                <c:pt idx="4">
                  <c:v>4.45</c:v>
                </c:pt>
                <c:pt idx="5">
                  <c:v>5.45</c:v>
                </c:pt>
                <c:pt idx="6">
                  <c:v>6.45</c:v>
                </c:pt>
                <c:pt idx="7">
                  <c:v>7.45</c:v>
                </c:pt>
                <c:pt idx="8">
                  <c:v>8.4499999999999993</c:v>
                </c:pt>
                <c:pt idx="9">
                  <c:v>8.85</c:v>
                </c:pt>
              </c:numCache>
            </c:numRef>
          </c:yVal>
        </c:ser>
        <c:axId val="116779648"/>
        <c:axId val="117224576"/>
      </c:scatterChart>
      <c:valAx>
        <c:axId val="116779648"/>
        <c:scaling>
          <c:orientation val="minMax"/>
          <c:max val="14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17224576"/>
        <c:crosses val="autoZero"/>
        <c:crossBetween val="midCat"/>
      </c:valAx>
      <c:valAx>
        <c:axId val="117224576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Voltage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1677964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 sz="1200" baseline="0"/>
              <a:t>Calculating R0 and 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Calculating R0 and C</c:v>
          </c:tx>
          <c:spPr>
            <a:ln w="19050">
              <a:noFill/>
            </a:ln>
          </c:spPr>
          <c:marker>
            <c:symbol val="plus"/>
            <c:size val="5"/>
            <c:spPr>
              <a:ln>
                <a:solidFill>
                  <a:schemeClr val="tx1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3461067366579155E-2"/>
                  <c:y val="4.5899729770189877E-2"/>
                </c:manualLayout>
              </c:layout>
              <c:numFmt formatCode="General" sourceLinked="0"/>
            </c:trendlineLbl>
          </c:trendline>
          <c:xVal>
            <c:numRef>
              <c:f>Analysis!$N$41:$N$43</c:f>
              <c:numCache>
                <c:formatCode>General</c:formatCode>
                <c:ptCount val="3"/>
                <c:pt idx="0">
                  <c:v>0</c:v>
                </c:pt>
                <c:pt idx="1">
                  <c:v>100</c:v>
                </c:pt>
                <c:pt idx="2">
                  <c:v>330</c:v>
                </c:pt>
              </c:numCache>
            </c:numRef>
          </c:xVal>
          <c:yVal>
            <c:numRef>
              <c:f>Analysis!$P$41:$P$43</c:f>
              <c:numCache>
                <c:formatCode>General</c:formatCode>
                <c:ptCount val="3"/>
                <c:pt idx="0">
                  <c:v>1.3477088948787062</c:v>
                </c:pt>
                <c:pt idx="1">
                  <c:v>14.705882352941176</c:v>
                </c:pt>
                <c:pt idx="2">
                  <c:v>43.478260869565219</c:v>
                </c:pt>
              </c:numCache>
            </c:numRef>
          </c:yVal>
        </c:ser>
        <c:axId val="117566080"/>
        <c:axId val="117663232"/>
      </c:scatterChart>
      <c:valAx>
        <c:axId val="11756608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</a:t>
                </a:r>
                <a:r>
                  <a:rPr lang="en-GB" baseline="0"/>
                  <a:t> added /ohms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17663232"/>
        <c:crosses val="autoZero"/>
        <c:crossBetween val="midCat"/>
      </c:valAx>
      <c:valAx>
        <c:axId val="1176632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RC</a:t>
                </a:r>
                <a:r>
                  <a:rPr lang="en-GB" baseline="0"/>
                  <a:t> /s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1756608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200" baseline="0"/>
              <a:t>Capacitor discharging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0 ohm added</c:v>
          </c:tx>
          <c:spPr>
            <a:ln w="19050">
              <a:noFill/>
            </a:ln>
          </c:spPr>
          <c:marker>
            <c:symbol val="plus"/>
            <c:size val="5"/>
          </c:marker>
          <c:trendline>
            <c:spPr>
              <a:ln>
                <a:solidFill>
                  <a:srgbClr val="0070C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3374741636906529"/>
                  <c:y val="3.003017184664468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aseline="0"/>
                      <a:t>y = -0.7425x + 2.2033
R² = 0.988</a:t>
                    </a:r>
                    <a:endParaRPr lang="en-US" sz="1200"/>
                  </a:p>
                </c:rich>
              </c:tx>
              <c:numFmt formatCode="General" sourceLinked="0"/>
            </c:trendlineLbl>
          </c:trendline>
          <c:xVal>
            <c:numRef>
              <c:f>Analysis!$J$7:$J$16</c:f>
              <c:numCache>
                <c:formatCode>General</c:formatCode>
                <c:ptCount val="10"/>
                <c:pt idx="0">
                  <c:v>4.18</c:v>
                </c:pt>
                <c:pt idx="1">
                  <c:v>2.3250000000000002</c:v>
                </c:pt>
                <c:pt idx="2">
                  <c:v>1.44</c:v>
                </c:pt>
                <c:pt idx="3">
                  <c:v>1.335</c:v>
                </c:pt>
                <c:pt idx="4">
                  <c:v>0.97</c:v>
                </c:pt>
                <c:pt idx="5">
                  <c:v>0.78499999999999992</c:v>
                </c:pt>
                <c:pt idx="6">
                  <c:v>0.56499999999999995</c:v>
                </c:pt>
                <c:pt idx="7">
                  <c:v>0.28999999999999998</c:v>
                </c:pt>
                <c:pt idx="8">
                  <c:v>0.16500000000000001</c:v>
                </c:pt>
                <c:pt idx="9">
                  <c:v>0</c:v>
                </c:pt>
              </c:numCache>
            </c:numRef>
          </c:xVal>
          <c:yVal>
            <c:numRef>
              <c:f>Analysis!$L$7:$L$16</c:f>
              <c:numCache>
                <c:formatCode>General</c:formatCode>
                <c:ptCount val="10"/>
                <c:pt idx="0">
                  <c:v>-0.79850769621777173</c:v>
                </c:pt>
                <c:pt idx="1">
                  <c:v>0.37156355643248301</c:v>
                </c:pt>
                <c:pt idx="2">
                  <c:v>0.89608802455663572</c:v>
                </c:pt>
                <c:pt idx="3">
                  <c:v>1.2383742310432684</c:v>
                </c:pt>
                <c:pt idx="4">
                  <c:v>1.4929040961781488</c:v>
                </c:pt>
                <c:pt idx="5">
                  <c:v>1.6956156086751528</c:v>
                </c:pt>
                <c:pt idx="6">
                  <c:v>1.8640801308076811</c:v>
                </c:pt>
                <c:pt idx="7">
                  <c:v>2.0082140323914683</c:v>
                </c:pt>
                <c:pt idx="8">
                  <c:v>2.1341664413690822</c:v>
                </c:pt>
                <c:pt idx="9">
                  <c:v>2.180417459019838</c:v>
                </c:pt>
              </c:numCache>
            </c:numRef>
          </c:yVal>
        </c:ser>
        <c:ser>
          <c:idx val="1"/>
          <c:order val="1"/>
          <c:tx>
            <c:v>100 ohm added</c:v>
          </c:tx>
          <c:spPr>
            <a:ln w="19050">
              <a:noFill/>
            </a:ln>
          </c:spPr>
          <c:marker>
            <c:symbol val="plus"/>
            <c:size val="5"/>
          </c:marker>
          <c:trendline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6981838693484141"/>
                  <c:y val="-0.22030463664159727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aseline="0"/>
                      <a:t>y = -0.0677x + 2.2605
R² = 0.9981</a:t>
                    </a:r>
                    <a:endParaRPr lang="en-US" sz="1200"/>
                  </a:p>
                </c:rich>
              </c:tx>
              <c:numFmt formatCode="General" sourceLinked="0"/>
            </c:trendlineLbl>
          </c:trendline>
          <c:xVal>
            <c:numRef>
              <c:f>Analysis!$J$21:$J$30</c:f>
              <c:numCache>
                <c:formatCode>General</c:formatCode>
                <c:ptCount val="10"/>
                <c:pt idx="0">
                  <c:v>45.55</c:v>
                </c:pt>
                <c:pt idx="1">
                  <c:v>27.06</c:v>
                </c:pt>
                <c:pt idx="2">
                  <c:v>19.55</c:v>
                </c:pt>
                <c:pt idx="3">
                  <c:v>15.35</c:v>
                </c:pt>
                <c:pt idx="4">
                  <c:v>11.69</c:v>
                </c:pt>
                <c:pt idx="5">
                  <c:v>8.73</c:v>
                </c:pt>
                <c:pt idx="6">
                  <c:v>6.49</c:v>
                </c:pt>
                <c:pt idx="7">
                  <c:v>4.42</c:v>
                </c:pt>
                <c:pt idx="8">
                  <c:v>1.48</c:v>
                </c:pt>
                <c:pt idx="9">
                  <c:v>0</c:v>
                </c:pt>
              </c:numCache>
            </c:numRef>
          </c:xVal>
          <c:yVal>
            <c:numRef>
              <c:f>Analysis!$L$21:$L$30</c:f>
              <c:numCache>
                <c:formatCode>General</c:formatCode>
                <c:ptCount val="10"/>
                <c:pt idx="0">
                  <c:v>-0.79850769621777173</c:v>
                </c:pt>
                <c:pt idx="1">
                  <c:v>0.37156355643248301</c:v>
                </c:pt>
                <c:pt idx="2">
                  <c:v>0.89608802455663572</c:v>
                </c:pt>
                <c:pt idx="3">
                  <c:v>1.2383742310432684</c:v>
                </c:pt>
                <c:pt idx="4">
                  <c:v>1.4929040961781488</c:v>
                </c:pt>
                <c:pt idx="5">
                  <c:v>1.6956156086751528</c:v>
                </c:pt>
                <c:pt idx="6">
                  <c:v>1.8640801308076811</c:v>
                </c:pt>
                <c:pt idx="7">
                  <c:v>2.0082140323914683</c:v>
                </c:pt>
                <c:pt idx="8">
                  <c:v>2.1341664413690822</c:v>
                </c:pt>
                <c:pt idx="9">
                  <c:v>2.2027647577118348</c:v>
                </c:pt>
              </c:numCache>
            </c:numRef>
          </c:yVal>
        </c:ser>
        <c:ser>
          <c:idx val="2"/>
          <c:order val="2"/>
          <c:tx>
            <c:v>330 ohm added</c:v>
          </c:tx>
          <c:spPr>
            <a:ln w="19050">
              <a:noFill/>
            </a:ln>
          </c:spPr>
          <c:marker>
            <c:symbol val="plus"/>
            <c:size val="5"/>
            <c:spPr>
              <a:ln>
                <a:solidFill>
                  <a:srgbClr val="FF0000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3633082491004439"/>
                  <c:y val="-0.3999205431212310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aseline="0"/>
                      <a:t>y = -0.0226x + 2.2763
R² = 0.9993</a:t>
                    </a:r>
                    <a:endParaRPr lang="en-US" sz="1200"/>
                  </a:p>
                </c:rich>
              </c:tx>
              <c:numFmt formatCode="General" sourceLinked="0"/>
            </c:trendlineLbl>
          </c:trendline>
          <c:xVal>
            <c:numRef>
              <c:f>Analysis!$J$34:$J$43</c:f>
              <c:numCache>
                <c:formatCode>General</c:formatCode>
                <c:ptCount val="10"/>
                <c:pt idx="0">
                  <c:v>136</c:v>
                </c:pt>
                <c:pt idx="1">
                  <c:v>86.05</c:v>
                </c:pt>
                <c:pt idx="2">
                  <c:v>60.76</c:v>
                </c:pt>
                <c:pt idx="3">
                  <c:v>45.08</c:v>
                </c:pt>
                <c:pt idx="4">
                  <c:v>33.74</c:v>
                </c:pt>
                <c:pt idx="5">
                  <c:v>25.88</c:v>
                </c:pt>
                <c:pt idx="6">
                  <c:v>17.43</c:v>
                </c:pt>
                <c:pt idx="7">
                  <c:v>11.7</c:v>
                </c:pt>
                <c:pt idx="8">
                  <c:v>5.79</c:v>
                </c:pt>
                <c:pt idx="9">
                  <c:v>6.64</c:v>
                </c:pt>
              </c:numCache>
            </c:numRef>
          </c:xVal>
          <c:yVal>
            <c:numRef>
              <c:f>Analysis!$L$34:$L$43</c:f>
              <c:numCache>
                <c:formatCode>General</c:formatCode>
                <c:ptCount val="10"/>
                <c:pt idx="0">
                  <c:v>-0.79850769621777173</c:v>
                </c:pt>
                <c:pt idx="1">
                  <c:v>0.37156355643248301</c:v>
                </c:pt>
                <c:pt idx="2">
                  <c:v>0.89608802455663572</c:v>
                </c:pt>
                <c:pt idx="3">
                  <c:v>1.2383742310432684</c:v>
                </c:pt>
                <c:pt idx="4">
                  <c:v>1.4929040961781488</c:v>
                </c:pt>
                <c:pt idx="5">
                  <c:v>1.6956156086751528</c:v>
                </c:pt>
                <c:pt idx="6">
                  <c:v>1.8640801308076811</c:v>
                </c:pt>
                <c:pt idx="7">
                  <c:v>2.0082140323914683</c:v>
                </c:pt>
                <c:pt idx="8">
                  <c:v>2.1341664413690822</c:v>
                </c:pt>
                <c:pt idx="9">
                  <c:v>2.180417459019838</c:v>
                </c:pt>
              </c:numCache>
            </c:numRef>
          </c:yVal>
        </c:ser>
        <c:axId val="86897792"/>
        <c:axId val="86899328"/>
      </c:scatterChart>
      <c:valAx>
        <c:axId val="86897792"/>
        <c:scaling>
          <c:orientation val="minMax"/>
          <c:max val="14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/>
                  <a:t>Time</a:t>
                </a:r>
                <a:r>
                  <a:rPr lang="en-GB" sz="1200" baseline="0"/>
                  <a:t> /s</a:t>
                </a:r>
                <a:endParaRPr lang="en-GB" sz="1200"/>
              </a:p>
            </c:rich>
          </c:tx>
          <c:layout/>
        </c:title>
        <c:numFmt formatCode="General" sourceLinked="1"/>
        <c:tickLblPos val="nextTo"/>
        <c:crossAx val="86899328"/>
        <c:crosses val="autoZero"/>
        <c:crossBetween val="midCat"/>
      </c:valAx>
      <c:valAx>
        <c:axId val="86899328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 baseline="0"/>
                  <a:t>ln(V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8689779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 sz="1200" baseline="0"/>
              <a:t>Calculating R0 and 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Calculating R0 and C</c:v>
          </c:tx>
          <c:spPr>
            <a:ln w="19050">
              <a:noFill/>
            </a:ln>
          </c:spPr>
          <c:marker>
            <c:symbol val="plus"/>
            <c:size val="5"/>
            <c:spPr>
              <a:ln>
                <a:solidFill>
                  <a:prstClr val="black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2661394941922791"/>
                  <c:y val="2.7032464674612979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aseline="0"/>
                      <a:t>y = 0.1297x + 1.5341
R² = 0.9999</a:t>
                    </a:r>
                    <a:endParaRPr lang="en-US" sz="1200"/>
                  </a:p>
                </c:rich>
              </c:tx>
              <c:numFmt formatCode="General" sourceLinked="0"/>
            </c:trendlineLbl>
          </c:trendline>
          <c:xVal>
            <c:numRef>
              <c:f>Analysis!$W$40:$W$42</c:f>
              <c:numCache>
                <c:formatCode>General</c:formatCode>
                <c:ptCount val="3"/>
                <c:pt idx="0">
                  <c:v>0</c:v>
                </c:pt>
                <c:pt idx="1">
                  <c:v>100</c:v>
                </c:pt>
                <c:pt idx="2">
                  <c:v>330</c:v>
                </c:pt>
              </c:numCache>
            </c:numRef>
          </c:xVal>
          <c:yVal>
            <c:numRef>
              <c:f>Analysis!$Y$40:$Y$42</c:f>
              <c:numCache>
                <c:formatCode>General</c:formatCode>
                <c:ptCount val="3"/>
                <c:pt idx="0">
                  <c:v>1.3468013468013467</c:v>
                </c:pt>
                <c:pt idx="1">
                  <c:v>14.771048744460858</c:v>
                </c:pt>
                <c:pt idx="2">
                  <c:v>44.247787610619469</c:v>
                </c:pt>
              </c:numCache>
            </c:numRef>
          </c:yVal>
        </c:ser>
        <c:axId val="91643264"/>
        <c:axId val="91690496"/>
      </c:scatterChart>
      <c:valAx>
        <c:axId val="91643264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 b="1"/>
                  <a:t>R</a:t>
                </a:r>
                <a:r>
                  <a:rPr lang="en-GB" sz="1200" b="1" baseline="0"/>
                  <a:t> added /ohms</a:t>
                </a:r>
                <a:endParaRPr lang="en-GB" sz="1200" b="1"/>
              </a:p>
            </c:rich>
          </c:tx>
          <c:layout/>
        </c:title>
        <c:numFmt formatCode="General" sourceLinked="1"/>
        <c:tickLblPos val="nextTo"/>
        <c:crossAx val="91690496"/>
        <c:crosses val="autoZero"/>
        <c:crossBetween val="midCat"/>
      </c:valAx>
      <c:valAx>
        <c:axId val="916904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RC</a:t>
                </a:r>
                <a:r>
                  <a:rPr lang="en-GB" sz="1200" baseline="0"/>
                  <a:t> /s</a:t>
                </a:r>
                <a:endParaRPr lang="en-GB" sz="1200"/>
              </a:p>
            </c:rich>
          </c:tx>
          <c:layout/>
        </c:title>
        <c:numFmt formatCode="General" sourceLinked="1"/>
        <c:tickLblPos val="nextTo"/>
        <c:crossAx val="9164326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572621</xdr:colOff>
      <xdr:row>0</xdr:row>
      <xdr:rowOff>122145</xdr:rowOff>
    </xdr:from>
    <xdr:to>
      <xdr:col>19</xdr:col>
      <xdr:colOff>672354</xdr:colOff>
      <xdr:row>19</xdr:row>
      <xdr:rowOff>150720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559733</xdr:colOff>
      <xdr:row>19</xdr:row>
      <xdr:rowOff>300318</xdr:rowOff>
    </xdr:from>
    <xdr:to>
      <xdr:col>19</xdr:col>
      <xdr:colOff>649940</xdr:colOff>
      <xdr:row>36</xdr:row>
      <xdr:rowOff>138393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737987</xdr:colOff>
      <xdr:row>43</xdr:row>
      <xdr:rowOff>152880</xdr:rowOff>
    </xdr:from>
    <xdr:to>
      <xdr:col>18</xdr:col>
      <xdr:colOff>26413</xdr:colOff>
      <xdr:row>58</xdr:row>
      <xdr:rowOff>40821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11205</xdr:colOff>
      <xdr:row>42</xdr:row>
      <xdr:rowOff>134471</xdr:rowOff>
    </xdr:from>
    <xdr:to>
      <xdr:col>24</xdr:col>
      <xdr:colOff>661147</xdr:colOff>
      <xdr:row>46</xdr:row>
      <xdr:rowOff>44824</xdr:rowOff>
    </xdr:to>
    <xdr:sp macro="" textlink="">
      <xdr:nvSpPr>
        <xdr:cNvPr id="7" name="TextBox 6"/>
        <xdr:cNvSpPr txBox="1"/>
      </xdr:nvSpPr>
      <xdr:spPr>
        <a:xfrm>
          <a:off x="20495558" y="10567147"/>
          <a:ext cx="2431677" cy="672353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  <a:prstDash val="lg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600"/>
            <a:t>Calculation using RC</a:t>
          </a:r>
          <a:r>
            <a:rPr lang="en-GB" sz="1600" baseline="0"/>
            <a:t> values from gradient of ln(V) vs t</a:t>
          </a:r>
          <a:endParaRPr lang="en-GB" sz="1600"/>
        </a:p>
      </xdr:txBody>
    </xdr:sp>
    <xdr:clientData/>
  </xdr:twoCellAnchor>
  <xdr:twoCellAnchor>
    <xdr:from>
      <xdr:col>15</xdr:col>
      <xdr:colOff>829235</xdr:colOff>
      <xdr:row>58</xdr:row>
      <xdr:rowOff>179294</xdr:rowOff>
    </xdr:from>
    <xdr:to>
      <xdr:col>18</xdr:col>
      <xdr:colOff>22412</xdr:colOff>
      <xdr:row>64</xdr:row>
      <xdr:rowOff>179295</xdr:rowOff>
    </xdr:to>
    <xdr:sp macro="" textlink="">
      <xdr:nvSpPr>
        <xdr:cNvPr id="9" name="TextBox 8"/>
        <xdr:cNvSpPr txBox="1"/>
      </xdr:nvSpPr>
      <xdr:spPr>
        <a:xfrm>
          <a:off x="14444382" y="13659970"/>
          <a:ext cx="2162736" cy="1143001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  <a:prstDash val="lg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600"/>
            <a:t>Calculation using RC</a:t>
          </a:r>
          <a:r>
            <a:rPr lang="en-GB" sz="1600" baseline="0"/>
            <a:t> values from exponential fit of discharge curves</a:t>
          </a:r>
          <a:endParaRPr lang="en-GB" sz="1600"/>
        </a:p>
      </xdr:txBody>
    </xdr:sp>
    <xdr:clientData/>
  </xdr:twoCellAnchor>
  <xdr:twoCellAnchor>
    <xdr:from>
      <xdr:col>19</xdr:col>
      <xdr:colOff>1176616</xdr:colOff>
      <xdr:row>0</xdr:row>
      <xdr:rowOff>156881</xdr:rowOff>
    </xdr:from>
    <xdr:to>
      <xdr:col>27</xdr:col>
      <xdr:colOff>1086970</xdr:colOff>
      <xdr:row>24</xdr:row>
      <xdr:rowOff>11206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1165410</xdr:colOff>
      <xdr:row>25</xdr:row>
      <xdr:rowOff>89647</xdr:rowOff>
    </xdr:from>
    <xdr:to>
      <xdr:col>27</xdr:col>
      <xdr:colOff>829234</xdr:colOff>
      <xdr:row>33</xdr:row>
      <xdr:rowOff>381001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5"/>
  <sheetViews>
    <sheetView zoomScale="145" zoomScaleNormal="145" workbookViewId="0">
      <selection activeCell="C32" sqref="C32"/>
    </sheetView>
  </sheetViews>
  <sheetFormatPr defaultRowHeight="15"/>
  <sheetData>
    <row r="2" spans="2:11">
      <c r="B2" s="3"/>
      <c r="C2" s="42" t="s">
        <v>3</v>
      </c>
      <c r="D2" s="42"/>
      <c r="E2" s="42"/>
      <c r="F2" s="42"/>
      <c r="G2" s="42"/>
      <c r="H2" s="42"/>
    </row>
    <row r="3" spans="2:11">
      <c r="B3" s="11" t="s">
        <v>0</v>
      </c>
      <c r="C3" s="41" t="s">
        <v>1</v>
      </c>
      <c r="D3" s="42"/>
      <c r="E3" s="42"/>
      <c r="F3" s="42" t="s">
        <v>2</v>
      </c>
      <c r="G3" s="42"/>
      <c r="H3" s="42"/>
    </row>
    <row r="4" spans="2:11" s="1" customFormat="1" ht="15.75" thickBot="1">
      <c r="B4" s="8"/>
      <c r="C4" s="9">
        <v>0</v>
      </c>
      <c r="D4" s="10">
        <v>100</v>
      </c>
      <c r="E4" s="10">
        <v>330</v>
      </c>
      <c r="F4" s="10">
        <v>0</v>
      </c>
      <c r="G4" s="10">
        <v>100</v>
      </c>
      <c r="H4" s="10">
        <v>330</v>
      </c>
    </row>
    <row r="5" spans="2:11">
      <c r="B5" s="43">
        <v>9</v>
      </c>
      <c r="C5" s="6">
        <v>2.33</v>
      </c>
      <c r="D5" s="7">
        <v>35.6</v>
      </c>
      <c r="E5" s="7"/>
      <c r="F5" s="7">
        <v>0.19</v>
      </c>
      <c r="G5" s="7">
        <v>1.48</v>
      </c>
      <c r="H5" s="7">
        <v>6.64</v>
      </c>
    </row>
    <row r="6" spans="2:11">
      <c r="B6" s="39"/>
      <c r="C6" s="5">
        <v>2.33</v>
      </c>
      <c r="D6" s="4"/>
      <c r="E6" s="4"/>
      <c r="F6" s="4">
        <v>0.14000000000000001</v>
      </c>
      <c r="G6" s="4"/>
      <c r="H6" s="4">
        <v>5.79</v>
      </c>
      <c r="K6" t="s">
        <v>5</v>
      </c>
    </row>
    <row r="7" spans="2:11">
      <c r="B7" s="39">
        <v>8</v>
      </c>
      <c r="C7" s="5">
        <v>1.99</v>
      </c>
      <c r="D7" s="4">
        <v>23.43</v>
      </c>
      <c r="E7" s="4">
        <v>93.6</v>
      </c>
      <c r="F7" s="4">
        <v>0.35</v>
      </c>
      <c r="G7" s="4">
        <v>4.42</v>
      </c>
      <c r="H7" s="4">
        <v>11.7</v>
      </c>
      <c r="K7" s="2">
        <v>4.05</v>
      </c>
    </row>
    <row r="8" spans="2:11">
      <c r="B8" s="39"/>
      <c r="C8" s="5">
        <v>1.95</v>
      </c>
      <c r="D8" s="4"/>
      <c r="E8" s="4"/>
      <c r="F8" s="4">
        <v>0.23</v>
      </c>
      <c r="G8" s="4"/>
      <c r="H8" s="4"/>
      <c r="K8">
        <v>4.21</v>
      </c>
    </row>
    <row r="9" spans="2:11">
      <c r="B9" s="39">
        <v>7</v>
      </c>
      <c r="C9" s="5">
        <v>1.55</v>
      </c>
      <c r="D9" s="4">
        <v>15.33</v>
      </c>
      <c r="E9" s="4">
        <v>53.4</v>
      </c>
      <c r="F9" s="4">
        <v>0.61</v>
      </c>
      <c r="G9" s="4">
        <v>6.49</v>
      </c>
      <c r="H9" s="4">
        <v>17.43</v>
      </c>
      <c r="K9" s="2">
        <v>4.13</v>
      </c>
    </row>
    <row r="10" spans="2:11">
      <c r="B10" s="39"/>
      <c r="C10" s="5">
        <v>1.42</v>
      </c>
      <c r="D10" s="4"/>
      <c r="E10" s="4"/>
      <c r="F10" s="4">
        <v>0.52</v>
      </c>
      <c r="G10" s="4"/>
      <c r="H10" s="4"/>
      <c r="K10">
        <v>4.05</v>
      </c>
    </row>
    <row r="11" spans="2:11">
      <c r="B11" s="39">
        <v>6</v>
      </c>
      <c r="C11" s="5">
        <v>1.3</v>
      </c>
      <c r="D11" s="4">
        <v>10.98</v>
      </c>
      <c r="E11" s="4">
        <v>39.49</v>
      </c>
      <c r="F11" s="4">
        <v>0.88</v>
      </c>
      <c r="G11" s="4">
        <v>8.73</v>
      </c>
      <c r="H11" s="4">
        <v>25.88</v>
      </c>
      <c r="K11" s="2">
        <v>4.1900000000000004</v>
      </c>
    </row>
    <row r="12" spans="2:11">
      <c r="B12" s="39"/>
      <c r="C12" s="5">
        <v>1.22</v>
      </c>
      <c r="D12" s="4"/>
      <c r="E12" s="4"/>
      <c r="F12" s="4">
        <v>0.69</v>
      </c>
      <c r="G12" s="4"/>
      <c r="H12" s="4"/>
      <c r="K12">
        <v>4.1500000000000004</v>
      </c>
    </row>
    <row r="13" spans="2:11">
      <c r="B13" s="39">
        <v>5</v>
      </c>
      <c r="C13" s="5">
        <v>0.99</v>
      </c>
      <c r="D13" s="4">
        <v>8.44</v>
      </c>
      <c r="E13" s="4">
        <v>26.57</v>
      </c>
      <c r="F13" s="4">
        <v>0.28000000000000003</v>
      </c>
      <c r="G13" s="4">
        <v>11.69</v>
      </c>
      <c r="H13" s="4">
        <v>33.74</v>
      </c>
      <c r="K13" s="2">
        <v>3.99</v>
      </c>
    </row>
    <row r="14" spans="2:11">
      <c r="B14" s="39"/>
      <c r="C14" s="5">
        <v>0.89</v>
      </c>
      <c r="D14" s="4"/>
      <c r="E14" s="4"/>
      <c r="F14" s="4">
        <v>0.97</v>
      </c>
      <c r="G14" s="4"/>
      <c r="H14" s="4"/>
    </row>
    <row r="15" spans="2:11">
      <c r="B15" s="39">
        <v>4</v>
      </c>
      <c r="C15" s="5">
        <v>0.56999999999999995</v>
      </c>
      <c r="D15" s="4">
        <v>6.51</v>
      </c>
      <c r="E15" s="4">
        <v>19.32</v>
      </c>
      <c r="F15" s="4">
        <v>1.33</v>
      </c>
      <c r="G15" s="4">
        <v>15.35</v>
      </c>
      <c r="H15" s="4">
        <v>45.08</v>
      </c>
    </row>
    <row r="16" spans="2:11">
      <c r="B16" s="39"/>
      <c r="C16" s="5">
        <v>0.71</v>
      </c>
      <c r="D16" s="4"/>
      <c r="E16" s="4"/>
      <c r="F16" s="4">
        <v>1.34</v>
      </c>
      <c r="G16" s="4"/>
      <c r="H16" s="4"/>
    </row>
    <row r="17" spans="2:8">
      <c r="B17" s="39">
        <v>3</v>
      </c>
      <c r="C17" s="5">
        <v>0.61</v>
      </c>
      <c r="D17" s="4">
        <v>4.32</v>
      </c>
      <c r="E17" s="4">
        <v>12.28</v>
      </c>
      <c r="F17" s="4">
        <v>1.34</v>
      </c>
      <c r="G17" s="4">
        <v>19.55</v>
      </c>
      <c r="H17" s="4">
        <v>60.76</v>
      </c>
    </row>
    <row r="18" spans="2:8">
      <c r="B18" s="39"/>
      <c r="C18" s="5">
        <v>0.53</v>
      </c>
      <c r="D18" s="4"/>
      <c r="E18" s="4"/>
      <c r="F18" s="4">
        <v>1.54</v>
      </c>
      <c r="G18" s="4"/>
      <c r="H18" s="4"/>
    </row>
    <row r="19" spans="2:8">
      <c r="B19" s="39">
        <v>2</v>
      </c>
      <c r="C19" s="5">
        <v>0.49</v>
      </c>
      <c r="D19" s="4">
        <v>2.92</v>
      </c>
      <c r="E19" s="4">
        <v>7.79</v>
      </c>
      <c r="F19" s="4">
        <v>2.2799999999999998</v>
      </c>
      <c r="G19" s="4">
        <v>27.06</v>
      </c>
      <c r="H19" s="4">
        <v>86.05</v>
      </c>
    </row>
    <row r="20" spans="2:8">
      <c r="B20" s="39"/>
      <c r="C20" s="5">
        <v>0.4</v>
      </c>
      <c r="D20" s="4"/>
      <c r="E20" s="4"/>
      <c r="F20" s="4">
        <v>2.37</v>
      </c>
      <c r="G20" s="4"/>
      <c r="H20" s="4"/>
    </row>
    <row r="21" spans="2:8">
      <c r="B21" s="39">
        <v>1</v>
      </c>
      <c r="C21" s="5">
        <v>0.19</v>
      </c>
      <c r="D21" s="4">
        <v>0.86</v>
      </c>
      <c r="E21" s="4">
        <v>1.86</v>
      </c>
      <c r="F21" s="4">
        <v>4.4800000000000004</v>
      </c>
      <c r="G21" s="4">
        <v>45.55</v>
      </c>
      <c r="H21" s="4">
        <v>136</v>
      </c>
    </row>
    <row r="22" spans="2:8" ht="15.75" thickBot="1">
      <c r="B22" s="40"/>
      <c r="C22" s="13">
        <v>0.11</v>
      </c>
      <c r="D22" s="14"/>
      <c r="E22" s="14"/>
      <c r="F22" s="14">
        <v>3.88</v>
      </c>
      <c r="G22" s="14"/>
      <c r="H22" s="14"/>
    </row>
    <row r="23" spans="2:8">
      <c r="B23" s="12" t="s">
        <v>4</v>
      </c>
      <c r="C23" s="6">
        <v>0.55000000000000004</v>
      </c>
      <c r="D23" s="7">
        <v>0.5</v>
      </c>
      <c r="E23" s="7">
        <v>0.6</v>
      </c>
      <c r="F23" s="7">
        <v>9.4</v>
      </c>
      <c r="G23" s="7">
        <v>9.6</v>
      </c>
      <c r="H23" s="7">
        <v>9.4</v>
      </c>
    </row>
    <row r="25" spans="2:8">
      <c r="B25" s="17" t="s">
        <v>12</v>
      </c>
    </row>
  </sheetData>
  <mergeCells count="12">
    <mergeCell ref="B21:B22"/>
    <mergeCell ref="C3:E3"/>
    <mergeCell ref="F3:H3"/>
    <mergeCell ref="C2:H2"/>
    <mergeCell ref="B5:B6"/>
    <mergeCell ref="B7:B8"/>
    <mergeCell ref="B9:B10"/>
    <mergeCell ref="B11:B12"/>
    <mergeCell ref="B13:B14"/>
    <mergeCell ref="B15:B16"/>
    <mergeCell ref="B17:B18"/>
    <mergeCell ref="B19:B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Y62"/>
  <sheetViews>
    <sheetView tabSelected="1" topLeftCell="I19" zoomScale="85" zoomScaleNormal="85" workbookViewId="0">
      <selection activeCell="Z49" sqref="Z49"/>
    </sheetView>
  </sheetViews>
  <sheetFormatPr defaultRowHeight="15"/>
  <cols>
    <col min="1" max="1" width="19" customWidth="1"/>
    <col min="3" max="3" width="22.42578125" bestFit="1" customWidth="1"/>
    <col min="5" max="5" width="12.28515625" customWidth="1"/>
    <col min="6" max="6" width="12.5703125" customWidth="1"/>
    <col min="8" max="8" width="28.85546875" bestFit="1" customWidth="1"/>
    <col min="9" max="9" width="12.28515625" customWidth="1"/>
    <col min="10" max="11" width="15.85546875" customWidth="1"/>
    <col min="12" max="12" width="10.42578125" customWidth="1"/>
    <col min="14" max="14" width="18" customWidth="1"/>
    <col min="15" max="15" width="10.85546875" customWidth="1"/>
    <col min="16" max="16" width="16.5703125" customWidth="1"/>
    <col min="18" max="18" width="18.85546875" customWidth="1"/>
    <col min="19" max="19" width="10.7109375" customWidth="1"/>
    <col min="20" max="20" width="19.140625" customWidth="1"/>
    <col min="23" max="23" width="17.7109375" customWidth="1"/>
    <col min="25" max="25" width="26.5703125" customWidth="1"/>
    <col min="26" max="26" width="13.140625" customWidth="1"/>
    <col min="27" max="27" width="21.140625" customWidth="1"/>
    <col min="28" max="28" width="12.7109375" customWidth="1"/>
    <col min="30" max="30" width="16.7109375" customWidth="1"/>
  </cols>
  <sheetData>
    <row r="2" spans="1:25">
      <c r="A2" s="17" t="s">
        <v>12</v>
      </c>
      <c r="I2" t="s">
        <v>26</v>
      </c>
    </row>
    <row r="4" spans="1:25">
      <c r="C4" s="17" t="s">
        <v>11</v>
      </c>
      <c r="D4">
        <v>0.55000000000000004</v>
      </c>
      <c r="E4" s="27" t="s">
        <v>25</v>
      </c>
      <c r="F4" s="35">
        <v>9.0500000000000007</v>
      </c>
      <c r="Y4" t="s">
        <v>30</v>
      </c>
    </row>
    <row r="5" spans="1:25">
      <c r="C5" s="17" t="s">
        <v>9</v>
      </c>
      <c r="D5" s="17">
        <v>0</v>
      </c>
      <c r="E5" s="27" t="s">
        <v>23</v>
      </c>
      <c r="F5" s="33">
        <v>1.35</v>
      </c>
      <c r="G5" s="15"/>
      <c r="H5" s="17" t="s">
        <v>9</v>
      </c>
      <c r="I5" s="18">
        <v>0</v>
      </c>
      <c r="N5" s="16"/>
      <c r="O5" s="16"/>
    </row>
    <row r="6" spans="1:25" s="1" customFormat="1" ht="45">
      <c r="C6" s="19" t="s">
        <v>6</v>
      </c>
      <c r="D6" s="19" t="s">
        <v>7</v>
      </c>
      <c r="E6" s="19" t="s">
        <v>8</v>
      </c>
      <c r="F6" s="25" t="s">
        <v>24</v>
      </c>
      <c r="H6" s="19" t="s">
        <v>6</v>
      </c>
      <c r="I6" s="19" t="s">
        <v>7</v>
      </c>
      <c r="J6" s="19" t="s">
        <v>10</v>
      </c>
      <c r="K6" s="19" t="s">
        <v>27</v>
      </c>
      <c r="L6" s="19" t="s">
        <v>31</v>
      </c>
    </row>
    <row r="7" spans="1:25">
      <c r="C7" s="3">
        <v>1</v>
      </c>
      <c r="D7" s="4">
        <f>C7-$D$4</f>
        <v>0.44999999999999996</v>
      </c>
      <c r="E7" s="3">
        <f>(0.11+0.19)/2</f>
        <v>0.15</v>
      </c>
      <c r="F7" s="3">
        <f>$F$5*LN($F$4/($F$4-D7))</f>
        <v>6.8853448510702991E-2</v>
      </c>
      <c r="H7" s="3">
        <v>1</v>
      </c>
      <c r="I7" s="3">
        <f>H7-0.55</f>
        <v>0.44999999999999996</v>
      </c>
      <c r="J7" s="3">
        <f>(3.88+4.48)/2</f>
        <v>4.18</v>
      </c>
      <c r="K7" s="3">
        <f>LN($I$16/I7)</f>
        <v>2.9789251552376097</v>
      </c>
      <c r="L7" s="3">
        <f>LN(I7)</f>
        <v>-0.79850769621777173</v>
      </c>
    </row>
    <row r="8" spans="1:25" ht="30">
      <c r="A8" s="20" t="s">
        <v>5</v>
      </c>
      <c r="C8" s="3">
        <v>2</v>
      </c>
      <c r="D8" s="4">
        <f t="shared" ref="D8:D16" si="0">C8-$D$4</f>
        <v>1.45</v>
      </c>
      <c r="E8" s="3">
        <f>(0.4+0.49)/2</f>
        <v>0.44500000000000001</v>
      </c>
      <c r="F8" s="3">
        <f t="shared" ref="F8:F16" si="1">$F$5*LN($F$4/($F$4-D8))</f>
        <v>0.23573228906639174</v>
      </c>
      <c r="H8" s="3">
        <v>2</v>
      </c>
      <c r="I8" s="3">
        <f t="shared" ref="I8:I16" si="2">H8-0.55</f>
        <v>1.45</v>
      </c>
      <c r="J8" s="3">
        <f>(2.28+2.37)/2</f>
        <v>2.3250000000000002</v>
      </c>
      <c r="K8" s="3">
        <f t="shared" ref="K8:K16" si="3">LN($I$16/I8)</f>
        <v>1.8088539025873551</v>
      </c>
      <c r="L8" s="3">
        <f t="shared" ref="L8:L16" si="4">LN(I8)</f>
        <v>0.37156355643248301</v>
      </c>
    </row>
    <row r="9" spans="1:25">
      <c r="A9" s="21">
        <v>4.05</v>
      </c>
      <c r="C9" s="3">
        <v>3</v>
      </c>
      <c r="D9" s="4">
        <f t="shared" si="0"/>
        <v>2.4500000000000002</v>
      </c>
      <c r="E9" s="3">
        <f>(0.61+0.53)/2</f>
        <v>0.57000000000000006</v>
      </c>
      <c r="F9" s="3">
        <f t="shared" si="1"/>
        <v>0.42618839671726405</v>
      </c>
      <c r="H9" s="3">
        <v>3</v>
      </c>
      <c r="I9" s="3">
        <f t="shared" si="2"/>
        <v>2.4500000000000002</v>
      </c>
      <c r="J9" s="3">
        <f>(1.34+1.54)/2</f>
        <v>1.44</v>
      </c>
      <c r="K9" s="3">
        <f t="shared" si="3"/>
        <v>1.2843294344632026</v>
      </c>
      <c r="L9" s="3">
        <f t="shared" si="4"/>
        <v>0.89608802455663572</v>
      </c>
    </row>
    <row r="10" spans="1:25">
      <c r="A10" s="15">
        <v>4.21</v>
      </c>
      <c r="C10" s="3">
        <v>4</v>
      </c>
      <c r="D10" s="4">
        <f t="shared" si="0"/>
        <v>3.45</v>
      </c>
      <c r="E10" s="3">
        <f>(0.57+0.71)/2</f>
        <v>0.6399999999999999</v>
      </c>
      <c r="F10" s="3">
        <f t="shared" si="1"/>
        <v>0.64799751596048716</v>
      </c>
      <c r="H10" s="3">
        <v>4</v>
      </c>
      <c r="I10" s="3">
        <f t="shared" si="2"/>
        <v>3.45</v>
      </c>
      <c r="J10" s="3">
        <f>(1.33+1.34)/2</f>
        <v>1.335</v>
      </c>
      <c r="K10" s="3">
        <f t="shared" si="3"/>
        <v>0.9420432279765697</v>
      </c>
      <c r="L10" s="3">
        <f t="shared" si="4"/>
        <v>1.2383742310432684</v>
      </c>
    </row>
    <row r="11" spans="1:25">
      <c r="A11" s="21">
        <v>4.13</v>
      </c>
      <c r="C11" s="3">
        <v>5</v>
      </c>
      <c r="D11" s="4">
        <f t="shared" si="0"/>
        <v>4.45</v>
      </c>
      <c r="E11" s="3">
        <f>(0.99+0.89)/2</f>
        <v>0.94</v>
      </c>
      <c r="F11" s="3">
        <f t="shared" si="1"/>
        <v>0.91355641319266034</v>
      </c>
      <c r="H11" s="3">
        <v>5</v>
      </c>
      <c r="I11" s="3">
        <f t="shared" si="2"/>
        <v>4.45</v>
      </c>
      <c r="J11" s="3">
        <v>0.97</v>
      </c>
      <c r="K11" s="3">
        <f t="shared" si="3"/>
        <v>0.68751336284168918</v>
      </c>
      <c r="L11" s="3">
        <f t="shared" si="4"/>
        <v>1.4929040961781488</v>
      </c>
    </row>
    <row r="12" spans="1:25">
      <c r="A12" s="15">
        <v>4.05</v>
      </c>
      <c r="C12" s="3">
        <v>6</v>
      </c>
      <c r="D12" s="4">
        <f t="shared" si="0"/>
        <v>5.45</v>
      </c>
      <c r="E12" s="3">
        <f>(1.3+1.22)/2</f>
        <v>1.26</v>
      </c>
      <c r="F12" s="3">
        <f t="shared" si="1"/>
        <v>1.2444717315371903</v>
      </c>
      <c r="H12" s="3">
        <v>6</v>
      </c>
      <c r="I12" s="3">
        <f t="shared" si="2"/>
        <v>5.45</v>
      </c>
      <c r="J12" s="3">
        <f>(0.88+0.69)/2</f>
        <v>0.78499999999999992</v>
      </c>
      <c r="K12" s="3">
        <f t="shared" si="3"/>
        <v>0.48480185034468531</v>
      </c>
      <c r="L12" s="3">
        <f t="shared" si="4"/>
        <v>1.6956156086751528</v>
      </c>
    </row>
    <row r="13" spans="1:25">
      <c r="A13" s="21">
        <v>4.1900000000000004</v>
      </c>
      <c r="C13" s="3">
        <v>7</v>
      </c>
      <c r="D13" s="4">
        <f t="shared" si="0"/>
        <v>6.45</v>
      </c>
      <c r="E13" s="3">
        <f>(1.55+1.42)/2</f>
        <v>1.4849999999999999</v>
      </c>
      <c r="F13" s="3">
        <f t="shared" si="1"/>
        <v>1.6837919721239378</v>
      </c>
      <c r="H13" s="3">
        <v>7</v>
      </c>
      <c r="I13" s="3">
        <f t="shared" si="2"/>
        <v>6.45</v>
      </c>
      <c r="J13" s="3">
        <f>(0.61+0.52)/2</f>
        <v>0.56499999999999995</v>
      </c>
      <c r="K13" s="3">
        <f t="shared" si="3"/>
        <v>0.31633732821215704</v>
      </c>
      <c r="L13" s="3">
        <f t="shared" si="4"/>
        <v>1.8640801308076811</v>
      </c>
    </row>
    <row r="14" spans="1:25">
      <c r="A14" s="15">
        <v>4.1500000000000004</v>
      </c>
      <c r="C14" s="3">
        <v>8</v>
      </c>
      <c r="D14" s="4">
        <f t="shared" si="0"/>
        <v>7.45</v>
      </c>
      <c r="E14" s="3">
        <f>(1.99+1.95)/2</f>
        <v>1.97</v>
      </c>
      <c r="F14" s="3">
        <f t="shared" si="1"/>
        <v>2.3392275234292335</v>
      </c>
      <c r="H14" s="3">
        <v>8</v>
      </c>
      <c r="I14" s="3">
        <f t="shared" si="2"/>
        <v>7.45</v>
      </c>
      <c r="J14" s="3">
        <f>(0.35+0.23)/2</f>
        <v>0.28999999999999998</v>
      </c>
      <c r="K14" s="3">
        <f t="shared" si="3"/>
        <v>0.17220342662836996</v>
      </c>
      <c r="L14" s="3">
        <f t="shared" si="4"/>
        <v>2.0082140323914683</v>
      </c>
    </row>
    <row r="15" spans="1:25">
      <c r="A15" s="21">
        <v>3.99</v>
      </c>
      <c r="C15" s="3">
        <v>9</v>
      </c>
      <c r="D15" s="4">
        <f t="shared" si="0"/>
        <v>8.4499999999999993</v>
      </c>
      <c r="E15" s="3">
        <f>(2.33+2.33)/2</f>
        <v>2.33</v>
      </c>
      <c r="F15" s="3">
        <f t="shared" si="1"/>
        <v>3.6633470149950615</v>
      </c>
      <c r="H15" s="3">
        <v>9</v>
      </c>
      <c r="I15" s="3">
        <f t="shared" si="2"/>
        <v>8.4499999999999993</v>
      </c>
      <c r="J15" s="3">
        <f>(0.19+0.14)/2</f>
        <v>0.16500000000000001</v>
      </c>
      <c r="K15" s="3">
        <f t="shared" si="3"/>
        <v>4.6251017650755691E-2</v>
      </c>
      <c r="L15" s="3">
        <f t="shared" si="4"/>
        <v>2.1341664413690822</v>
      </c>
    </row>
    <row r="16" spans="1:25">
      <c r="C16" s="28">
        <v>9.5</v>
      </c>
      <c r="D16" s="29">
        <f t="shared" si="0"/>
        <v>8.9499999999999993</v>
      </c>
      <c r="E16" s="3"/>
      <c r="F16" s="28">
        <f t="shared" si="1"/>
        <v>6.08222229845292</v>
      </c>
      <c r="H16" s="3">
        <v>9.4</v>
      </c>
      <c r="I16" s="3">
        <f t="shared" si="2"/>
        <v>8.85</v>
      </c>
      <c r="J16" s="3">
        <v>0</v>
      </c>
      <c r="K16" s="3">
        <f t="shared" si="3"/>
        <v>0</v>
      </c>
      <c r="L16" s="3">
        <f t="shared" si="4"/>
        <v>2.180417459019838</v>
      </c>
    </row>
    <row r="17" spans="1:12">
      <c r="C17" s="30"/>
      <c r="D17" s="31"/>
      <c r="E17" s="26"/>
      <c r="F17" s="30"/>
      <c r="H17" s="26"/>
      <c r="I17" s="26"/>
      <c r="J17" s="26"/>
      <c r="K17" s="26"/>
      <c r="L17" s="26"/>
    </row>
    <row r="18" spans="1:12" ht="50.25" customHeight="1">
      <c r="A18" s="20" t="s">
        <v>13</v>
      </c>
      <c r="C18" s="17" t="s">
        <v>11</v>
      </c>
      <c r="D18">
        <v>0.5</v>
      </c>
      <c r="E18" s="27" t="s">
        <v>25</v>
      </c>
      <c r="F18" s="35">
        <v>9.59</v>
      </c>
    </row>
    <row r="19" spans="1:12">
      <c r="A19" s="15">
        <f>STDEV(A9:A15)</f>
        <v>8.1649658092772678E-2</v>
      </c>
      <c r="C19" s="17" t="s">
        <v>9</v>
      </c>
      <c r="D19" s="17">
        <v>100</v>
      </c>
      <c r="E19" s="27" t="s">
        <v>23</v>
      </c>
      <c r="F19" s="33">
        <v>14.77</v>
      </c>
      <c r="H19" s="17" t="s">
        <v>9</v>
      </c>
      <c r="I19" s="22">
        <v>100</v>
      </c>
    </row>
    <row r="20" spans="1:12" ht="45">
      <c r="C20" s="19" t="s">
        <v>6</v>
      </c>
      <c r="D20" s="19" t="s">
        <v>7</v>
      </c>
      <c r="E20" s="19" t="s">
        <v>8</v>
      </c>
      <c r="F20" s="25" t="s">
        <v>24</v>
      </c>
      <c r="H20" s="19" t="s">
        <v>6</v>
      </c>
      <c r="I20" s="19" t="s">
        <v>7</v>
      </c>
      <c r="J20" s="19" t="s">
        <v>10</v>
      </c>
      <c r="K20" s="19" t="s">
        <v>27</v>
      </c>
      <c r="L20" s="19" t="s">
        <v>31</v>
      </c>
    </row>
    <row r="21" spans="1:12">
      <c r="A21" s="17"/>
      <c r="C21" s="3">
        <v>1</v>
      </c>
      <c r="D21" s="4">
        <f>C21-$D$18</f>
        <v>0.5</v>
      </c>
      <c r="E21" s="3">
        <v>0.86</v>
      </c>
      <c r="F21" s="3">
        <f>$F$19*LN($F$18/($F$18-D21))</f>
        <v>0.79087413502701909</v>
      </c>
      <c r="H21" s="3">
        <v>1</v>
      </c>
      <c r="I21" s="3">
        <f t="shared" ref="I21:I30" si="5">H21-0.55</f>
        <v>0.44999999999999996</v>
      </c>
      <c r="J21" s="3">
        <v>45.55</v>
      </c>
      <c r="K21" s="3">
        <f>LN($I$30/I21)</f>
        <v>3.0012724539296065</v>
      </c>
      <c r="L21" s="3">
        <f>LN(I21)</f>
        <v>-0.79850769621777173</v>
      </c>
    </row>
    <row r="22" spans="1:12">
      <c r="C22" s="3">
        <v>2</v>
      </c>
      <c r="D22" s="4">
        <f t="shared" ref="D22:D30" si="6">C22-$D$18</f>
        <v>1.5</v>
      </c>
      <c r="E22" s="3">
        <v>2.92</v>
      </c>
      <c r="F22" s="3">
        <f t="shared" ref="F22:F30" si="7">$F$19*LN($F$18/($F$18-D22))</f>
        <v>2.5122611710744613</v>
      </c>
      <c r="H22" s="3">
        <v>2</v>
      </c>
      <c r="I22" s="3">
        <f t="shared" si="5"/>
        <v>1.45</v>
      </c>
      <c r="J22" s="3">
        <v>27.06</v>
      </c>
      <c r="K22" s="3">
        <f t="shared" ref="K22:K30" si="8">LN($I$30/I22)</f>
        <v>1.8312012012793517</v>
      </c>
      <c r="L22" s="3">
        <f t="shared" ref="L22:L30" si="9">LN(I22)</f>
        <v>0.37156355643248301</v>
      </c>
    </row>
    <row r="23" spans="1:12">
      <c r="C23" s="3">
        <v>3</v>
      </c>
      <c r="D23" s="4">
        <f t="shared" si="6"/>
        <v>2.5</v>
      </c>
      <c r="E23" s="3">
        <v>4.32</v>
      </c>
      <c r="F23" s="3">
        <f t="shared" si="7"/>
        <v>4.4610650491488579</v>
      </c>
      <c r="H23" s="3">
        <v>3</v>
      </c>
      <c r="I23" s="3">
        <f t="shared" si="5"/>
        <v>2.4500000000000002</v>
      </c>
      <c r="J23" s="3">
        <v>19.55</v>
      </c>
      <c r="K23" s="3">
        <f t="shared" si="8"/>
        <v>1.3066767331551989</v>
      </c>
      <c r="L23" s="3">
        <f t="shared" si="9"/>
        <v>0.89608802455663572</v>
      </c>
    </row>
    <row r="24" spans="1:12">
      <c r="C24" s="3">
        <v>4</v>
      </c>
      <c r="D24" s="4">
        <f t="shared" si="6"/>
        <v>3.5</v>
      </c>
      <c r="E24" s="3">
        <v>6.51</v>
      </c>
      <c r="F24" s="3">
        <f t="shared" si="7"/>
        <v>6.706655361953203</v>
      </c>
      <c r="H24" s="3">
        <v>4</v>
      </c>
      <c r="I24" s="3">
        <f t="shared" si="5"/>
        <v>3.45</v>
      </c>
      <c r="J24" s="3">
        <v>15.35</v>
      </c>
      <c r="K24" s="3">
        <f t="shared" si="8"/>
        <v>0.96439052666856628</v>
      </c>
      <c r="L24" s="3">
        <f t="shared" si="9"/>
        <v>1.2383742310432684</v>
      </c>
    </row>
    <row r="25" spans="1:12">
      <c r="C25" s="3">
        <v>5</v>
      </c>
      <c r="D25" s="4">
        <f t="shared" si="6"/>
        <v>4.5</v>
      </c>
      <c r="E25" s="3">
        <v>8.44</v>
      </c>
      <c r="F25" s="3">
        <f t="shared" si="7"/>
        <v>9.3559539715771614</v>
      </c>
      <c r="H25" s="3">
        <v>5</v>
      </c>
      <c r="I25" s="3">
        <f t="shared" si="5"/>
        <v>4.45</v>
      </c>
      <c r="J25" s="3">
        <v>11.69</v>
      </c>
      <c r="K25" s="3">
        <f t="shared" si="8"/>
        <v>0.70986066153368588</v>
      </c>
      <c r="L25" s="3">
        <f t="shared" si="9"/>
        <v>1.4929040961781488</v>
      </c>
    </row>
    <row r="26" spans="1:12">
      <c r="C26" s="3">
        <v>6</v>
      </c>
      <c r="D26" s="4">
        <f t="shared" si="6"/>
        <v>5.5</v>
      </c>
      <c r="E26" s="3">
        <v>10.98</v>
      </c>
      <c r="F26" s="3">
        <f t="shared" si="7"/>
        <v>12.586638321276199</v>
      </c>
      <c r="H26" s="3">
        <v>6</v>
      </c>
      <c r="I26" s="3">
        <f t="shared" si="5"/>
        <v>5.45</v>
      </c>
      <c r="J26" s="3">
        <v>8.73</v>
      </c>
      <c r="K26" s="3">
        <f t="shared" si="8"/>
        <v>0.50714914903668196</v>
      </c>
      <c r="L26" s="3">
        <f t="shared" si="9"/>
        <v>1.6956156086751528</v>
      </c>
    </row>
    <row r="27" spans="1:12">
      <c r="C27" s="3">
        <v>7</v>
      </c>
      <c r="D27" s="4">
        <f t="shared" si="6"/>
        <v>6.5</v>
      </c>
      <c r="E27" s="3">
        <v>15.33</v>
      </c>
      <c r="F27" s="3">
        <f t="shared" si="7"/>
        <v>16.727760516248683</v>
      </c>
      <c r="H27" s="3">
        <v>7</v>
      </c>
      <c r="I27" s="3">
        <f t="shared" si="5"/>
        <v>6.45</v>
      </c>
      <c r="J27" s="3">
        <v>6.49</v>
      </c>
      <c r="K27" s="3">
        <f t="shared" si="8"/>
        <v>0.33868462690415352</v>
      </c>
      <c r="L27" s="3">
        <f t="shared" si="9"/>
        <v>1.8640801308076811</v>
      </c>
    </row>
    <row r="28" spans="1:12">
      <c r="C28" s="3">
        <v>8</v>
      </c>
      <c r="D28" s="4">
        <f t="shared" si="6"/>
        <v>7.5</v>
      </c>
      <c r="E28" s="3">
        <v>23.43</v>
      </c>
      <c r="F28" s="3">
        <f t="shared" si="7"/>
        <v>22.502934274508121</v>
      </c>
      <c r="H28" s="3">
        <v>8</v>
      </c>
      <c r="I28" s="3">
        <f t="shared" si="5"/>
        <v>7.45</v>
      </c>
      <c r="J28" s="3">
        <v>4.42</v>
      </c>
      <c r="K28" s="3">
        <f t="shared" si="8"/>
        <v>0.19455072532036655</v>
      </c>
      <c r="L28" s="3">
        <f t="shared" si="9"/>
        <v>2.0082140323914683</v>
      </c>
    </row>
    <row r="29" spans="1:12">
      <c r="C29" s="3">
        <v>9</v>
      </c>
      <c r="D29" s="4">
        <f t="shared" si="6"/>
        <v>8.5</v>
      </c>
      <c r="E29" s="3">
        <v>35.6</v>
      </c>
      <c r="F29" s="3">
        <f t="shared" si="7"/>
        <v>32.118002955503933</v>
      </c>
      <c r="H29" s="3">
        <v>9</v>
      </c>
      <c r="I29" s="3">
        <f t="shared" si="5"/>
        <v>8.4499999999999993</v>
      </c>
      <c r="J29" s="3">
        <v>1.48</v>
      </c>
      <c r="K29" s="3">
        <f t="shared" si="8"/>
        <v>6.8598316342752194E-2</v>
      </c>
      <c r="L29" s="3">
        <f t="shared" si="9"/>
        <v>2.1341664413690822</v>
      </c>
    </row>
    <row r="30" spans="1:12">
      <c r="C30" s="28">
        <v>9.5</v>
      </c>
      <c r="D30" s="29">
        <f t="shared" si="6"/>
        <v>9</v>
      </c>
      <c r="E30" s="3"/>
      <c r="F30" s="28">
        <f t="shared" si="7"/>
        <v>41.183983129540906</v>
      </c>
      <c r="H30" s="3">
        <v>9.6</v>
      </c>
      <c r="I30" s="3">
        <f t="shared" si="5"/>
        <v>9.0499999999999989</v>
      </c>
      <c r="J30" s="3">
        <v>0</v>
      </c>
      <c r="K30" s="3">
        <f t="shared" si="8"/>
        <v>0</v>
      </c>
      <c r="L30" s="3">
        <f t="shared" si="9"/>
        <v>2.2027647577118348</v>
      </c>
    </row>
    <row r="32" spans="1:12" ht="33" customHeight="1">
      <c r="C32" s="17" t="s">
        <v>11</v>
      </c>
      <c r="D32">
        <v>0.6</v>
      </c>
      <c r="E32" s="27" t="s">
        <v>25</v>
      </c>
      <c r="F32" s="35">
        <v>9.74</v>
      </c>
      <c r="H32" s="17" t="s">
        <v>9</v>
      </c>
      <c r="I32" s="22">
        <v>330</v>
      </c>
    </row>
    <row r="33" spans="2:25" ht="48.75" customHeight="1">
      <c r="C33" s="17" t="s">
        <v>9</v>
      </c>
      <c r="D33" s="17">
        <v>330</v>
      </c>
      <c r="E33" s="27" t="s">
        <v>23</v>
      </c>
      <c r="F33" s="33">
        <v>44.28</v>
      </c>
      <c r="H33" s="19" t="s">
        <v>6</v>
      </c>
      <c r="I33" s="19" t="s">
        <v>7</v>
      </c>
      <c r="J33" s="19" t="s">
        <v>10</v>
      </c>
      <c r="K33" s="19" t="s">
        <v>27</v>
      </c>
      <c r="L33" s="19" t="s">
        <v>31</v>
      </c>
    </row>
    <row r="34" spans="2:25" ht="45">
      <c r="C34" s="19" t="s">
        <v>6</v>
      </c>
      <c r="D34" s="19" t="s">
        <v>7</v>
      </c>
      <c r="E34" s="19" t="s">
        <v>8</v>
      </c>
      <c r="F34" s="25" t="s">
        <v>24</v>
      </c>
      <c r="H34" s="3">
        <v>1</v>
      </c>
      <c r="I34" s="3">
        <f t="shared" ref="I34:I43" si="10">H34-0.55</f>
        <v>0.44999999999999996</v>
      </c>
      <c r="J34" s="3">
        <v>136</v>
      </c>
      <c r="K34" s="3">
        <f>LN($I$43/I34)</f>
        <v>2.9789251552376097</v>
      </c>
      <c r="L34" s="3">
        <f>LN(I34)</f>
        <v>-0.79850769621777173</v>
      </c>
    </row>
    <row r="35" spans="2:25">
      <c r="C35" s="3">
        <v>1</v>
      </c>
      <c r="D35" s="4">
        <f t="shared" ref="D35:D44" si="11">C35-$D$32</f>
        <v>0.4</v>
      </c>
      <c r="E35" s="3">
        <v>1.86</v>
      </c>
      <c r="F35" s="3">
        <f>$F$33*LN($F$32/($F$32-D35))</f>
        <v>1.8568758405183072</v>
      </c>
      <c r="H35" s="3">
        <v>2</v>
      </c>
      <c r="I35" s="3">
        <f t="shared" si="10"/>
        <v>1.45</v>
      </c>
      <c r="J35" s="3">
        <v>86.05</v>
      </c>
      <c r="K35" s="3">
        <f t="shared" ref="K35:K43" si="12">LN($I$43/I35)</f>
        <v>1.8088539025873551</v>
      </c>
      <c r="L35" s="3">
        <f t="shared" ref="L35:L43" si="13">LN(I35)</f>
        <v>0.37156355643248301</v>
      </c>
    </row>
    <row r="36" spans="2:25">
      <c r="C36" s="3">
        <v>2</v>
      </c>
      <c r="D36" s="4">
        <f t="shared" si="11"/>
        <v>1.4</v>
      </c>
      <c r="E36" s="3">
        <v>7.79</v>
      </c>
      <c r="F36" s="3">
        <f t="shared" ref="F36:F44" si="14">$F$33*LN($F$32/($F$32-D36))</f>
        <v>6.8712774688461504</v>
      </c>
      <c r="H36" s="3">
        <v>3</v>
      </c>
      <c r="I36" s="3">
        <f t="shared" si="10"/>
        <v>2.4500000000000002</v>
      </c>
      <c r="J36" s="3">
        <v>60.76</v>
      </c>
      <c r="K36" s="3">
        <f t="shared" si="12"/>
        <v>1.2843294344632026</v>
      </c>
      <c r="L36" s="3">
        <f t="shared" si="13"/>
        <v>0.89608802455663572</v>
      </c>
    </row>
    <row r="37" spans="2:25">
      <c r="C37" s="3">
        <v>3</v>
      </c>
      <c r="D37" s="4">
        <f t="shared" si="11"/>
        <v>2.4</v>
      </c>
      <c r="E37" s="3">
        <v>12.28</v>
      </c>
      <c r="F37" s="3">
        <f t="shared" si="14"/>
        <v>12.526912738240709</v>
      </c>
      <c r="H37" s="3">
        <v>4</v>
      </c>
      <c r="I37" s="3">
        <f t="shared" si="10"/>
        <v>3.45</v>
      </c>
      <c r="J37" s="3">
        <v>45.08</v>
      </c>
      <c r="K37" s="3">
        <f t="shared" si="12"/>
        <v>0.9420432279765697</v>
      </c>
      <c r="L37" s="3">
        <f t="shared" si="13"/>
        <v>1.2383742310432684</v>
      </c>
    </row>
    <row r="38" spans="2:25">
      <c r="C38" s="3">
        <v>4</v>
      </c>
      <c r="D38" s="4">
        <f t="shared" si="11"/>
        <v>3.4</v>
      </c>
      <c r="E38" s="3">
        <v>19.32</v>
      </c>
      <c r="F38" s="3">
        <f t="shared" si="14"/>
        <v>19.012164822811091</v>
      </c>
      <c r="H38" s="3">
        <v>5</v>
      </c>
      <c r="I38" s="3">
        <f t="shared" si="10"/>
        <v>4.45</v>
      </c>
      <c r="J38" s="3">
        <v>33.74</v>
      </c>
      <c r="K38" s="3">
        <f t="shared" si="12"/>
        <v>0.68751336284168918</v>
      </c>
      <c r="L38" s="3">
        <f t="shared" si="13"/>
        <v>1.4929040961781488</v>
      </c>
    </row>
    <row r="39" spans="2:25">
      <c r="C39" s="3">
        <v>5</v>
      </c>
      <c r="D39" s="4">
        <f t="shared" si="11"/>
        <v>4.4000000000000004</v>
      </c>
      <c r="E39" s="3">
        <v>26.57</v>
      </c>
      <c r="F39" s="3">
        <f t="shared" si="14"/>
        <v>26.612964776134028</v>
      </c>
      <c r="H39" s="3">
        <v>6</v>
      </c>
      <c r="I39" s="3">
        <f t="shared" si="10"/>
        <v>5.45</v>
      </c>
      <c r="J39" s="3">
        <v>25.88</v>
      </c>
      <c r="K39" s="3">
        <f t="shared" si="12"/>
        <v>0.48480185034468531</v>
      </c>
      <c r="L39" s="3">
        <f t="shared" si="13"/>
        <v>1.6956156086751528</v>
      </c>
      <c r="N39" t="s">
        <v>20</v>
      </c>
      <c r="W39" s="23" t="s">
        <v>17</v>
      </c>
      <c r="X39" s="36" t="s">
        <v>25</v>
      </c>
      <c r="Y39" s="23" t="s">
        <v>29</v>
      </c>
    </row>
    <row r="40" spans="2:25">
      <c r="C40" s="3">
        <v>6</v>
      </c>
      <c r="D40" s="4">
        <f t="shared" si="11"/>
        <v>5.4</v>
      </c>
      <c r="E40" s="3">
        <v>39.49</v>
      </c>
      <c r="F40" s="3">
        <f t="shared" si="14"/>
        <v>35.794480555325528</v>
      </c>
      <c r="H40" s="3">
        <v>7</v>
      </c>
      <c r="I40" s="3">
        <f t="shared" si="10"/>
        <v>6.45</v>
      </c>
      <c r="J40" s="3">
        <v>17.43</v>
      </c>
      <c r="K40" s="3">
        <f t="shared" si="12"/>
        <v>0.31633732821215704</v>
      </c>
      <c r="L40" s="3">
        <f t="shared" si="13"/>
        <v>1.8640801308076811</v>
      </c>
      <c r="N40" s="23" t="s">
        <v>17</v>
      </c>
      <c r="O40" s="15"/>
      <c r="P40" s="23" t="s">
        <v>18</v>
      </c>
      <c r="Q40" s="15"/>
      <c r="R40" s="23" t="s">
        <v>19</v>
      </c>
      <c r="W40" s="24">
        <v>0</v>
      </c>
      <c r="X40" s="3">
        <f>EXP(2.2033)</f>
        <v>9.0548452392807022</v>
      </c>
      <c r="Y40" s="32">
        <f>1/0.7425</f>
        <v>1.3468013468013467</v>
      </c>
    </row>
    <row r="41" spans="2:25">
      <c r="C41" s="3">
        <v>7</v>
      </c>
      <c r="D41" s="4">
        <f t="shared" si="11"/>
        <v>6.4</v>
      </c>
      <c r="E41" s="3">
        <v>53.4</v>
      </c>
      <c r="F41" s="3">
        <f t="shared" si="14"/>
        <v>47.391569356283163</v>
      </c>
      <c r="H41" s="3">
        <v>8</v>
      </c>
      <c r="I41" s="3">
        <f t="shared" si="10"/>
        <v>7.45</v>
      </c>
      <c r="J41" s="3">
        <v>11.7</v>
      </c>
      <c r="K41" s="3">
        <f t="shared" si="12"/>
        <v>0.17220342662836996</v>
      </c>
      <c r="L41" s="3">
        <f t="shared" si="13"/>
        <v>2.0082140323914683</v>
      </c>
      <c r="N41" s="24">
        <v>0</v>
      </c>
      <c r="O41" s="15"/>
      <c r="P41" s="24">
        <f>1/0.742</f>
        <v>1.3477088948787062</v>
      </c>
      <c r="Q41" s="15"/>
      <c r="R41" s="24">
        <v>9.1</v>
      </c>
      <c r="W41" s="24">
        <v>100</v>
      </c>
      <c r="X41" s="3">
        <f>EXP(2.2605)</f>
        <v>9.5878819094335785</v>
      </c>
      <c r="Y41" s="32">
        <f>1/0.0677</f>
        <v>14.771048744460858</v>
      </c>
    </row>
    <row r="42" spans="2:25">
      <c r="C42" s="3">
        <v>8</v>
      </c>
      <c r="D42" s="4">
        <f t="shared" si="11"/>
        <v>7.4</v>
      </c>
      <c r="E42" s="3">
        <v>93.6</v>
      </c>
      <c r="F42" s="3">
        <f t="shared" si="14"/>
        <v>63.147273537252445</v>
      </c>
      <c r="H42" s="3">
        <v>9</v>
      </c>
      <c r="I42" s="3">
        <f t="shared" si="10"/>
        <v>8.4499999999999993</v>
      </c>
      <c r="J42" s="3">
        <v>5.79</v>
      </c>
      <c r="K42" s="3">
        <f t="shared" si="12"/>
        <v>4.6251017650755691E-2</v>
      </c>
      <c r="L42" s="3">
        <f t="shared" si="13"/>
        <v>2.1341664413690822</v>
      </c>
      <c r="N42" s="24">
        <v>100</v>
      </c>
      <c r="O42" s="15"/>
      <c r="P42" s="24">
        <f>1/0.068</f>
        <v>14.705882352941176</v>
      </c>
      <c r="Q42" s="15"/>
      <c r="R42" s="24">
        <v>9.6</v>
      </c>
      <c r="W42" s="24">
        <v>330</v>
      </c>
      <c r="X42" s="3">
        <f>EXP(2.2763)</f>
        <v>9.7405735309309751</v>
      </c>
      <c r="Y42" s="32">
        <f>1/0.0226</f>
        <v>44.247787610619469</v>
      </c>
    </row>
    <row r="43" spans="2:25">
      <c r="C43" s="3">
        <v>9</v>
      </c>
      <c r="D43" s="4">
        <f t="shared" si="11"/>
        <v>8.4</v>
      </c>
      <c r="E43" s="3"/>
      <c r="F43" s="3">
        <f t="shared" si="14"/>
        <v>87.832546183465112</v>
      </c>
      <c r="H43" s="3">
        <v>9.4</v>
      </c>
      <c r="I43" s="3">
        <f t="shared" si="10"/>
        <v>8.85</v>
      </c>
      <c r="J43" s="3">
        <v>6.64</v>
      </c>
      <c r="K43" s="3">
        <f t="shared" si="12"/>
        <v>0</v>
      </c>
      <c r="L43" s="3">
        <f t="shared" si="13"/>
        <v>2.180417459019838</v>
      </c>
      <c r="N43" s="24">
        <v>330</v>
      </c>
      <c r="O43" s="15"/>
      <c r="P43" s="24">
        <f>1/0.023</f>
        <v>43.478260869565219</v>
      </c>
      <c r="Q43" s="15"/>
      <c r="R43" s="24">
        <v>9.6999999999999993</v>
      </c>
    </row>
    <row r="44" spans="2:25">
      <c r="C44" s="28">
        <v>9.5</v>
      </c>
      <c r="D44" s="29">
        <f t="shared" si="11"/>
        <v>8.9</v>
      </c>
      <c r="E44" s="3"/>
      <c r="F44" s="3">
        <f t="shared" si="14"/>
        <v>108.51232467250954</v>
      </c>
    </row>
    <row r="46" spans="2:25">
      <c r="C46" s="17" t="s">
        <v>14</v>
      </c>
      <c r="G46" t="s">
        <v>16</v>
      </c>
    </row>
    <row r="47" spans="2:25">
      <c r="K47" t="s">
        <v>28</v>
      </c>
    </row>
    <row r="48" spans="2:25">
      <c r="B48" t="s">
        <v>15</v>
      </c>
    </row>
    <row r="49" spans="14:25">
      <c r="W49" s="17" t="s">
        <v>21</v>
      </c>
      <c r="X49" s="34">
        <v>0.13</v>
      </c>
    </row>
    <row r="50" spans="14:25">
      <c r="W50" s="17" t="s">
        <v>22</v>
      </c>
      <c r="X50" s="34">
        <f>1.5341/0.1297</f>
        <v>11.828064764841942</v>
      </c>
    </row>
    <row r="57" spans="14:25">
      <c r="W57" s="30"/>
      <c r="X57" s="30"/>
      <c r="Y57" s="30"/>
    </row>
    <row r="58" spans="14:25">
      <c r="W58" s="30"/>
      <c r="X58" s="30"/>
      <c r="Y58" s="30"/>
    </row>
    <row r="59" spans="14:25">
      <c r="W59" s="30"/>
      <c r="X59" s="30"/>
      <c r="Y59" s="30"/>
    </row>
    <row r="60" spans="14:25">
      <c r="W60" s="37"/>
      <c r="X60" s="38"/>
      <c r="Y60" s="30"/>
    </row>
    <row r="61" spans="14:25">
      <c r="N61" s="17" t="s">
        <v>21</v>
      </c>
      <c r="O61" s="34">
        <v>0.12720000000000001</v>
      </c>
      <c r="W61" s="37"/>
      <c r="X61" s="38"/>
      <c r="Y61" s="30"/>
    </row>
    <row r="62" spans="14:25">
      <c r="N62" s="17" t="s">
        <v>22</v>
      </c>
      <c r="O62" s="34">
        <f>1.609/0.1272</f>
        <v>12.64937106918239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1028" r:id="rId4"/>
    <oleObject progId="Equation.DSMT4" shapeId="1029" r:id="rId5"/>
    <oleObject progId="Equation.DSMT4" shapeId="1030" r:id="rId6"/>
    <oleObject progId="Equation.DSMT4" shapeId="1034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 table</vt:lpstr>
      <vt:lpstr>Analysis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Smith</dc:creator>
  <cp:lastModifiedBy>Andrew French</cp:lastModifiedBy>
  <dcterms:created xsi:type="dcterms:W3CDTF">2015-05-05T18:34:07Z</dcterms:created>
  <dcterms:modified xsi:type="dcterms:W3CDTF">2015-05-13T08:46:33Z</dcterms:modified>
</cp:coreProperties>
</file>