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8" activeTab="1"/>
  </bookViews>
  <sheets>
    <sheet name="Sheet1" sheetId="1" r:id="rId1"/>
    <sheet name="Sheet2" sheetId="2" r:id="rId2"/>
    <sheet name="Sheet3" sheetId="3" r:id="rId3"/>
  </sheets>
  <definedNames>
    <definedName name="_xlnm._FilterDatabase" localSheetId="0" hidden="1">Sheet1!$B$8:$H$8</definedName>
  </definedNames>
  <calcPr calcId="162913"/>
</workbook>
</file>

<file path=xl/calcChain.xml><?xml version="1.0" encoding="utf-8"?>
<calcChain xmlns="http://schemas.openxmlformats.org/spreadsheetml/2006/main">
  <c r="J7" i="2" l="1"/>
  <c r="J8" i="2"/>
  <c r="J9" i="2"/>
  <c r="J10" i="2"/>
  <c r="J11" i="2"/>
  <c r="J12" i="2"/>
  <c r="J13" i="2"/>
  <c r="J14" i="2"/>
  <c r="J15" i="2"/>
  <c r="J16" i="2"/>
  <c r="J17" i="2"/>
  <c r="J18" i="2"/>
  <c r="J19" i="2"/>
  <c r="J20" i="2"/>
  <c r="J21" i="2"/>
  <c r="J22" i="2"/>
  <c r="J23" i="2"/>
  <c r="J24" i="2"/>
  <c r="J25" i="2"/>
  <c r="J26" i="2"/>
  <c r="J27" i="2"/>
  <c r="J28" i="2"/>
  <c r="J6" i="2"/>
  <c r="I7" i="2"/>
  <c r="I8" i="2"/>
  <c r="I9" i="2"/>
  <c r="I10" i="2"/>
  <c r="I11" i="2"/>
  <c r="I12" i="2"/>
  <c r="I13" i="2"/>
  <c r="I14" i="2"/>
  <c r="I15" i="2"/>
  <c r="I16" i="2"/>
  <c r="I17" i="2"/>
  <c r="I18" i="2"/>
  <c r="I19" i="2"/>
  <c r="I20" i="2"/>
  <c r="I21" i="2"/>
  <c r="I22" i="2"/>
  <c r="I23" i="2"/>
  <c r="I24" i="2"/>
  <c r="I25" i="2"/>
  <c r="I26" i="2"/>
  <c r="I27" i="2"/>
  <c r="I28" i="2"/>
  <c r="I6" i="2"/>
  <c r="H7" i="2"/>
  <c r="H8" i="2"/>
  <c r="H9" i="2"/>
  <c r="H10" i="2"/>
  <c r="H11" i="2"/>
  <c r="H12" i="2"/>
  <c r="H13" i="2"/>
  <c r="H14" i="2"/>
  <c r="H15" i="2"/>
  <c r="H16" i="2"/>
  <c r="H17" i="2"/>
  <c r="H18" i="2"/>
  <c r="H19" i="2"/>
  <c r="H20" i="2"/>
  <c r="H21" i="2"/>
  <c r="H22" i="2"/>
  <c r="H23" i="2"/>
  <c r="H24" i="2"/>
  <c r="H25" i="2"/>
  <c r="H26" i="2"/>
  <c r="H27" i="2"/>
  <c r="H28" i="2"/>
  <c r="H6" i="2"/>
  <c r="M13" i="2" l="1"/>
  <c r="M15" i="2" s="1"/>
  <c r="M12" i="2"/>
  <c r="M11" i="2"/>
  <c r="E7" i="2"/>
  <c r="E8" i="2"/>
  <c r="E9" i="2"/>
  <c r="E10" i="2"/>
  <c r="E11" i="2"/>
  <c r="E12" i="2"/>
  <c r="E13" i="2"/>
  <c r="E14" i="2"/>
  <c r="E15" i="2"/>
  <c r="E16" i="2"/>
  <c r="E17" i="2"/>
  <c r="E18" i="2"/>
  <c r="E19" i="2"/>
  <c r="E20" i="2"/>
  <c r="E21" i="2"/>
  <c r="E22" i="2"/>
  <c r="E23" i="2"/>
  <c r="E24" i="2"/>
  <c r="E25" i="2"/>
  <c r="E26" i="2"/>
  <c r="E27" i="2"/>
  <c r="E28" i="2"/>
  <c r="E6" i="2"/>
  <c r="M9" i="2"/>
  <c r="M8" i="2"/>
  <c r="M7" i="2"/>
  <c r="M6" i="2"/>
  <c r="M5" i="2"/>
  <c r="D7" i="2"/>
  <c r="F7" i="2"/>
  <c r="D8" i="2"/>
  <c r="F8" i="2"/>
  <c r="D9" i="2"/>
  <c r="F9" i="2"/>
  <c r="D10" i="2"/>
  <c r="F10" i="2"/>
  <c r="D11" i="2"/>
  <c r="F11" i="2"/>
  <c r="D12" i="2"/>
  <c r="F12" i="2"/>
  <c r="D13" i="2"/>
  <c r="F13" i="2"/>
  <c r="D14" i="2"/>
  <c r="F14" i="2"/>
  <c r="D15" i="2"/>
  <c r="F15" i="2"/>
  <c r="D16" i="2"/>
  <c r="F16" i="2"/>
  <c r="D17" i="2"/>
  <c r="F17" i="2"/>
  <c r="D18" i="2"/>
  <c r="F18" i="2"/>
  <c r="D19" i="2"/>
  <c r="F19" i="2"/>
  <c r="D20" i="2"/>
  <c r="F20" i="2"/>
  <c r="D21" i="2"/>
  <c r="F21" i="2"/>
  <c r="D22" i="2"/>
  <c r="F22" i="2"/>
  <c r="D23" i="2"/>
  <c r="F23" i="2"/>
  <c r="D24" i="2"/>
  <c r="F24" i="2"/>
  <c r="D25" i="2"/>
  <c r="F25" i="2"/>
  <c r="D26" i="2"/>
  <c r="F26" i="2"/>
  <c r="D27" i="2"/>
  <c r="F27" i="2"/>
  <c r="D28" i="2"/>
  <c r="F28" i="2"/>
  <c r="F6" i="2"/>
  <c r="D6" i="2"/>
  <c r="H13" i="1"/>
  <c r="H15" i="1"/>
  <c r="H28" i="1"/>
  <c r="H14" i="1"/>
  <c r="H16" i="1"/>
  <c r="H25" i="1"/>
  <c r="H31" i="1"/>
  <c r="K24" i="1"/>
  <c r="K21" i="1"/>
  <c r="H19" i="1" s="1"/>
  <c r="F13" i="1"/>
  <c r="F15" i="1"/>
  <c r="F19" i="1"/>
  <c r="F22" i="1"/>
  <c r="F24" i="1"/>
  <c r="F28" i="1"/>
  <c r="F26" i="1"/>
  <c r="F21" i="1"/>
  <c r="F17" i="1"/>
  <c r="F14" i="1"/>
  <c r="F12" i="1"/>
  <c r="F9" i="1"/>
  <c r="F11" i="1"/>
  <c r="F16" i="1"/>
  <c r="F18" i="1"/>
  <c r="F20" i="1"/>
  <c r="F23" i="1"/>
  <c r="F25" i="1"/>
  <c r="F27" i="1"/>
  <c r="F29" i="1"/>
  <c r="F30" i="1"/>
  <c r="F31" i="1"/>
  <c r="F10" i="1"/>
  <c r="G13" i="1"/>
  <c r="G15" i="1"/>
  <c r="G19" i="1"/>
  <c r="G22" i="1"/>
  <c r="G24" i="1"/>
  <c r="G28" i="1"/>
  <c r="G26" i="1"/>
  <c r="G21" i="1"/>
  <c r="G17" i="1"/>
  <c r="G14" i="1"/>
  <c r="G12" i="1"/>
  <c r="G9" i="1"/>
  <c r="G11" i="1"/>
  <c r="G16" i="1"/>
  <c r="G18" i="1"/>
  <c r="G20" i="1"/>
  <c r="G23" i="1"/>
  <c r="G25" i="1"/>
  <c r="G27" i="1"/>
  <c r="G29" i="1"/>
  <c r="G30" i="1"/>
  <c r="G31" i="1"/>
  <c r="G10" i="1"/>
  <c r="H4" i="1"/>
  <c r="G20" i="2" l="1"/>
  <c r="G18" i="2"/>
  <c r="G9" i="2"/>
  <c r="G13" i="2"/>
  <c r="G25" i="2"/>
  <c r="G6" i="2"/>
  <c r="G15" i="2"/>
  <c r="G27" i="2"/>
  <c r="G19" i="2"/>
  <c r="M18" i="2"/>
  <c r="M16" i="2"/>
  <c r="G8" i="2" s="1"/>
  <c r="H30" i="1"/>
  <c r="H11" i="1"/>
  <c r="H24" i="1"/>
  <c r="H29" i="1"/>
  <c r="H20" i="1"/>
  <c r="H9" i="1"/>
  <c r="H21" i="1"/>
  <c r="H22" i="1"/>
  <c r="H23" i="1"/>
  <c r="H17" i="1"/>
  <c r="H10" i="1"/>
  <c r="H27" i="1"/>
  <c r="H18" i="1"/>
  <c r="H12" i="1"/>
  <c r="H26" i="1"/>
  <c r="G10" i="2" l="1"/>
  <c r="G16" i="2"/>
  <c r="G11" i="2"/>
  <c r="G26" i="2"/>
  <c r="G21" i="2"/>
  <c r="G23" i="2"/>
  <c r="G28" i="2"/>
  <c r="G12" i="2"/>
  <c r="G22" i="2"/>
  <c r="G14" i="2"/>
  <c r="G17" i="2"/>
  <c r="G7" i="2"/>
  <c r="M20" i="2" s="1"/>
  <c r="G24" i="2"/>
  <c r="M22" i="2" l="1"/>
  <c r="M21" i="2"/>
  <c r="M24" i="2" s="1"/>
</calcChain>
</file>

<file path=xl/comments1.xml><?xml version="1.0" encoding="utf-8"?>
<comments xmlns="http://schemas.openxmlformats.org/spreadsheetml/2006/main">
  <authors>
    <author>Author</author>
  </authors>
  <commentList>
    <comment ref="H5" authorId="0" shapeId="0">
      <text>
        <r>
          <rPr>
            <b/>
            <sz val="9"/>
            <color indexed="81"/>
            <rFont val="Tahoma"/>
            <family val="2"/>
          </rPr>
          <t>Author:</t>
        </r>
        <r>
          <rPr>
            <sz val="9"/>
            <color indexed="81"/>
            <rFont val="Tahoma"/>
            <family val="2"/>
          </rPr>
          <t xml:space="preserve">
https://www.engineeringtoolbox.com/water-properties-d_1573.html at 30degC and 101.325kPa</t>
        </r>
      </text>
    </comment>
  </commentList>
</comments>
</file>

<file path=xl/sharedStrings.xml><?xml version="1.0" encoding="utf-8"?>
<sst xmlns="http://schemas.openxmlformats.org/spreadsheetml/2006/main" count="68" uniqueCount="48">
  <si>
    <t>WATER BOILING POINT VS PRESSURE</t>
  </si>
  <si>
    <t>A. FRENCH. P5 WINCHESETER COLLEGE. 1450-1800 22 Nov 2019.</t>
  </si>
  <si>
    <t>Water temperature at boiling /degC</t>
  </si>
  <si>
    <t>Air temperature inside bell jar /degC</t>
  </si>
  <si>
    <t>Bell jar pressure /kPa</t>
  </si>
  <si>
    <t>Notes</t>
  </si>
  <si>
    <t>errors: about +/- 0.3 degC and about +/-0.2Pa. (By eye from fluctuating readings).</t>
  </si>
  <si>
    <t>P* /kPa</t>
  </si>
  <si>
    <t>T* /K</t>
  </si>
  <si>
    <t>Known data for water</t>
  </si>
  <si>
    <t>R /J/mol/K</t>
  </si>
  <si>
    <t>ln(P*/P)</t>
  </si>
  <si>
    <t>Clausius Clapeyron equation</t>
  </si>
  <si>
    <t>Lvap from gradient (/kJ/mol)</t>
  </si>
  <si>
    <t>Lvap from intercept (/kJ/mol)</t>
  </si>
  <si>
    <t>Lvap (kJ/mol) at 30degC</t>
  </si>
  <si>
    <t>Model P</t>
  </si>
  <si>
    <t>1000/Tboil (K^-1)</t>
  </si>
  <si>
    <t>* Water at 18.1degC, reduce pressure to 2.7kPa, bell jar temp 17.6degC. Note spontaneous boiling, but ceased when turned pump off. Heated continuously (about 12V DC, 4.5A), and increased pressure in stages, and waited for boiling to commence</t>
  </si>
  <si>
    <t>** Set temperature via heating or temperary immersion in a cold (or boiling) water bath. Atmospheric temperature, and bell jar periodically wiped of condensation. Then reduce pressure till boiling. Turn off pump, take measurement, increase pressure back to atmospheric and repeat. Easiest progression is to heat water to about 40degC, then start this process while heating constantly. Record boiling temp via lower pressure avery 5degC or so from 40degC.</t>
  </si>
  <si>
    <t>*</t>
  </si>
  <si>
    <t>**</t>
  </si>
  <si>
    <t>** - explosive onset of boiling!</t>
  </si>
  <si>
    <t>x</t>
  </si>
  <si>
    <t>y</t>
  </si>
  <si>
    <t>x^2</t>
  </si>
  <si>
    <t>y^2</t>
  </si>
  <si>
    <t>xy</t>
  </si>
  <si>
    <t>xbar</t>
  </si>
  <si>
    <t>ybar</t>
  </si>
  <si>
    <t>xybar</t>
  </si>
  <si>
    <t>x^2 bar</t>
  </si>
  <si>
    <t>y^2 bar</t>
  </si>
  <si>
    <t>V[x]</t>
  </si>
  <si>
    <t>V[y]</t>
  </si>
  <si>
    <t>cov[x,y]</t>
  </si>
  <si>
    <t>m</t>
  </si>
  <si>
    <t>c</t>
  </si>
  <si>
    <t>Lvap</t>
  </si>
  <si>
    <t>dm</t>
  </si>
  <si>
    <t>dc</t>
  </si>
  <si>
    <t>s</t>
  </si>
  <si>
    <t>(y - (mx+c))^2</t>
  </si>
  <si>
    <t>d Lvap</t>
  </si>
  <si>
    <t>y best fit</t>
  </si>
  <si>
    <t>y steepest</t>
  </si>
  <si>
    <t>y shallow</t>
  </si>
  <si>
    <t>WORKED LINE OF BEST FIT CALCULATION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</si>
</sst>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s>
  <fills count="8">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0" fillId="0" borderId="0" xfId="0" applyAlignment="1">
      <alignment horizontal="left"/>
    </xf>
    <xf numFmtId="0" fontId="0" fillId="0" borderId="0" xfId="0" applyAlignment="1">
      <alignment horizontal="left" wrapText="1"/>
    </xf>
    <xf numFmtId="0" fontId="1" fillId="0" borderId="0" xfId="0" applyFont="1" applyAlignment="1">
      <alignment horizontal="left"/>
    </xf>
    <xf numFmtId="0" fontId="1" fillId="0" borderId="1" xfId="0" applyFont="1" applyBorder="1" applyAlignment="1">
      <alignment horizontal="left" wrapText="1"/>
    </xf>
    <xf numFmtId="0" fontId="0" fillId="0" borderId="1" xfId="0" applyBorder="1" applyAlignment="1">
      <alignment horizontal="left" wrapText="1"/>
    </xf>
    <xf numFmtId="0" fontId="0" fillId="0" borderId="0" xfId="0" applyBorder="1" applyAlignment="1">
      <alignment horizontal="left"/>
    </xf>
    <xf numFmtId="0" fontId="1" fillId="2" borderId="1" xfId="0" applyFont="1" applyFill="1" applyBorder="1" applyAlignment="1">
      <alignment horizontal="left" wrapText="1"/>
    </xf>
    <xf numFmtId="0" fontId="0" fillId="2" borderId="1" xfId="0" applyFill="1" applyBorder="1" applyAlignment="1">
      <alignment horizontal="left"/>
    </xf>
    <xf numFmtId="164" fontId="1" fillId="4" borderId="1" xfId="0" applyNumberFormat="1" applyFont="1" applyFill="1" applyBorder="1" applyAlignment="1">
      <alignment horizontal="left" wrapText="1"/>
    </xf>
    <xf numFmtId="164" fontId="0" fillId="4" borderId="1" xfId="0" applyNumberFormat="1" applyFill="1" applyBorder="1" applyAlignment="1">
      <alignment horizontal="left"/>
    </xf>
    <xf numFmtId="0" fontId="0" fillId="5" borderId="1" xfId="0" applyFill="1" applyBorder="1" applyAlignment="1">
      <alignment horizontal="left"/>
    </xf>
    <xf numFmtId="165" fontId="0" fillId="4" borderId="1" xfId="0" applyNumberFormat="1" applyFill="1" applyBorder="1" applyAlignment="1">
      <alignment horizontal="left"/>
    </xf>
    <xf numFmtId="0" fontId="1" fillId="3" borderId="1" xfId="0" applyFont="1" applyFill="1" applyBorder="1" applyAlignment="1">
      <alignment horizontal="left" wrapText="1"/>
    </xf>
    <xf numFmtId="2" fontId="0" fillId="3" borderId="1" xfId="0" applyNumberFormat="1" applyFill="1" applyBorder="1" applyAlignment="1">
      <alignment horizontal="left"/>
    </xf>
    <xf numFmtId="164" fontId="1" fillId="0" borderId="0" xfId="0" applyNumberFormat="1" applyFont="1" applyAlignment="1">
      <alignment horizontal="left"/>
    </xf>
    <xf numFmtId="164" fontId="0" fillId="0" borderId="0" xfId="0" applyNumberFormat="1" applyAlignment="1">
      <alignment horizontal="left"/>
    </xf>
    <xf numFmtId="2" fontId="0" fillId="0" borderId="0" xfId="0" applyNumberFormat="1"/>
    <xf numFmtId="2" fontId="0" fillId="0" borderId="0" xfId="0" applyNumberFormat="1" applyAlignment="1">
      <alignment horizontal="left"/>
    </xf>
    <xf numFmtId="0" fontId="0" fillId="0" borderId="1" xfId="0" applyBorder="1"/>
    <xf numFmtId="2" fontId="0" fillId="0" borderId="1" xfId="0" applyNumberFormat="1" applyBorder="1"/>
    <xf numFmtId="164" fontId="0" fillId="0" borderId="0" xfId="0" applyNumberFormat="1"/>
    <xf numFmtId="0" fontId="1" fillId="0" borderId="0" xfId="0" applyFont="1"/>
    <xf numFmtId="0" fontId="1" fillId="3" borderId="1" xfId="0" applyFont="1" applyFill="1" applyBorder="1"/>
    <xf numFmtId="164" fontId="0" fillId="3" borderId="1" xfId="0" applyNumberFormat="1" applyFill="1" applyBorder="1"/>
    <xf numFmtId="0" fontId="1" fillId="2" borderId="1" xfId="0" applyFont="1" applyFill="1" applyBorder="1"/>
    <xf numFmtId="164" fontId="0" fillId="2" borderId="1" xfId="0" applyNumberFormat="1" applyFill="1" applyBorder="1"/>
    <xf numFmtId="0" fontId="1" fillId="6" borderId="1" xfId="0" applyFont="1" applyFill="1" applyBorder="1"/>
    <xf numFmtId="2" fontId="0" fillId="6" borderId="1" xfId="0" applyNumberFormat="1" applyFill="1" applyBorder="1"/>
    <xf numFmtId="0" fontId="1" fillId="5" borderId="1" xfId="0" applyFont="1" applyFill="1" applyBorder="1"/>
    <xf numFmtId="2" fontId="0" fillId="5" borderId="1" xfId="0" applyNumberFormat="1" applyFill="1" applyBorder="1"/>
    <xf numFmtId="0" fontId="1" fillId="7" borderId="1" xfId="0" applyFont="1" applyFill="1" applyBorder="1"/>
    <xf numFmtId="2" fontId="0" fillId="7" borderId="1" xfId="0" applyNumberFormat="1" applyFill="1" applyBorder="1"/>
    <xf numFmtId="2" fontId="0" fillId="7" borderId="1" xfId="0" applyNumberFormat="1" applyFont="1" applyFill="1" applyBorder="1"/>
    <xf numFmtId="2" fontId="1" fillId="0" borderId="0" xfId="0" applyNumberFormat="1" applyFont="1" applyAlignment="1">
      <alignment horizontal="left" wrapText="1"/>
    </xf>
    <xf numFmtId="164" fontId="1" fillId="0" borderId="1" xfId="0" applyNumberFormat="1" applyFont="1" applyBorder="1" applyAlignment="1">
      <alignment horizontal="left" wrapText="1"/>
    </xf>
    <xf numFmtId="2" fontId="1" fillId="0" borderId="1" xfId="0" applyNumberFormat="1" applyFont="1" applyBorder="1" applyAlignment="1">
      <alignment horizontal="left" wrapText="1"/>
    </xf>
    <xf numFmtId="164" fontId="0" fillId="0" borderId="1" xfId="0" applyNumberFormat="1" applyBorder="1" applyAlignment="1">
      <alignment horizontal="left"/>
    </xf>
    <xf numFmtId="2" fontId="0" fillId="0" borderId="1" xfId="0" applyNumberFormat="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scatterChart>
        <c:scatterStyle val="lineMarker"/>
        <c:varyColors val="0"/>
        <c:ser>
          <c:idx val="0"/>
          <c:order val="0"/>
          <c:tx>
            <c:v>ln(P/P*) vs 1/Tboil</c:v>
          </c:tx>
          <c:spPr>
            <a:ln w="28575">
              <a:noFill/>
            </a:ln>
          </c:spPr>
          <c:marker>
            <c:symbol val="plus"/>
            <c:size val="10"/>
            <c:spPr>
              <a:ln>
                <a:solidFill>
                  <a:srgbClr val="FF0000"/>
                </a:solidFill>
              </a:ln>
            </c:spPr>
          </c:marker>
          <c:trendline>
            <c:spPr>
              <a:ln w="25400">
                <a:solidFill>
                  <a:srgbClr val="0070C0"/>
                </a:solidFill>
              </a:ln>
            </c:spPr>
            <c:trendlineType val="linear"/>
            <c:dispRSqr val="1"/>
            <c:dispEq val="1"/>
            <c:trendlineLbl>
              <c:layout>
                <c:manualLayout>
                  <c:x val="-8.7142084555120597E-2"/>
                  <c:y val="3.4109798775153105E-2"/>
                </c:manualLayout>
              </c:layout>
              <c:numFmt formatCode="General" sourceLinked="0"/>
            </c:trendlineLbl>
          </c:trendline>
          <c:xVal>
            <c:numRef>
              <c:f>Sheet1!$F$9:$F$31</c:f>
              <c:numCache>
                <c:formatCode>0.000</c:formatCode>
                <c:ptCount val="23"/>
                <c:pt idx="0">
                  <c:v>3.1877590054191902</c:v>
                </c:pt>
                <c:pt idx="1">
                  <c:v>3.1407035175879399</c:v>
                </c:pt>
                <c:pt idx="2">
                  <c:v>3.1007751937984498</c:v>
                </c:pt>
                <c:pt idx="3">
                  <c:v>3.0404378230465188</c:v>
                </c:pt>
                <c:pt idx="4">
                  <c:v>3.0175015087507546</c:v>
                </c:pt>
                <c:pt idx="5">
                  <c:v>3.0066145520144314</c:v>
                </c:pt>
                <c:pt idx="6">
                  <c:v>2.9629629629629628</c:v>
                </c:pt>
                <c:pt idx="7">
                  <c:v>2.9507229271171438</c:v>
                </c:pt>
                <c:pt idx="8">
                  <c:v>2.9163021289005542</c:v>
                </c:pt>
                <c:pt idx="9">
                  <c:v>2.9019152640742889</c:v>
                </c:pt>
                <c:pt idx="10">
                  <c:v>2.8768699654775602</c:v>
                </c:pt>
                <c:pt idx="11">
                  <c:v>2.8506271379703532</c:v>
                </c:pt>
                <c:pt idx="12">
                  <c:v>2.8490028490028489</c:v>
                </c:pt>
                <c:pt idx="13">
                  <c:v>2.8296547821165818</c:v>
                </c:pt>
                <c:pt idx="14">
                  <c:v>2.8248587570621471</c:v>
                </c:pt>
                <c:pt idx="15">
                  <c:v>2.794857462269424</c:v>
                </c:pt>
                <c:pt idx="16">
                  <c:v>2.7894002789400281</c:v>
                </c:pt>
                <c:pt idx="17">
                  <c:v>2.7685492801771874</c:v>
                </c:pt>
                <c:pt idx="18">
                  <c:v>2.7654867256637168</c:v>
                </c:pt>
                <c:pt idx="19">
                  <c:v>2.7639579878385847</c:v>
                </c:pt>
                <c:pt idx="20">
                  <c:v>2.7510316368638241</c:v>
                </c:pt>
                <c:pt idx="21">
                  <c:v>2.7419797093501508</c:v>
                </c:pt>
                <c:pt idx="22">
                  <c:v>2.7307482250136537</c:v>
                </c:pt>
              </c:numCache>
            </c:numRef>
          </c:xVal>
          <c:yVal>
            <c:numRef>
              <c:f>Sheet1!$G$9:$G$31</c:f>
              <c:numCache>
                <c:formatCode>0.000</c:formatCode>
                <c:ptCount val="23"/>
                <c:pt idx="0">
                  <c:v>2.746530995612781</c:v>
                </c:pt>
                <c:pt idx="1">
                  <c:v>2.4122589799011704</c:v>
                </c:pt>
                <c:pt idx="2">
                  <c:v>1.9864443323777261</c:v>
                </c:pt>
                <c:pt idx="3">
                  <c:v>1.8646724601601099</c:v>
                </c:pt>
                <c:pt idx="4">
                  <c:v>1.7391347152163328</c:v>
                </c:pt>
                <c:pt idx="5">
                  <c:v>1.7391347152163328</c:v>
                </c:pt>
                <c:pt idx="6">
                  <c:v>1.4655971501507166</c:v>
                </c:pt>
                <c:pt idx="7">
                  <c:v>1.2825635961746722</c:v>
                </c:pt>
                <c:pt idx="8">
                  <c:v>1.1973331635560371</c:v>
                </c:pt>
                <c:pt idx="9">
                  <c:v>1.0744794904506936</c:v>
                </c:pt>
                <c:pt idx="10">
                  <c:v>1.0047162029009826</c:v>
                </c:pt>
                <c:pt idx="11">
                  <c:v>0.88066355423100395</c:v>
                </c:pt>
                <c:pt idx="12">
                  <c:v>0.8688290965840012</c:v>
                </c:pt>
                <c:pt idx="13">
                  <c:v>0.75550041127699807</c:v>
                </c:pt>
                <c:pt idx="14">
                  <c:v>0.74921766809750279</c:v>
                </c:pt>
                <c:pt idx="15">
                  <c:v>0.58409253436197706</c:v>
                </c:pt>
                <c:pt idx="16">
                  <c:v>0.57879684678726673</c:v>
                </c:pt>
                <c:pt idx="17">
                  <c:v>0.46414860993625451</c:v>
                </c:pt>
                <c:pt idx="18">
                  <c:v>0.46257998216362817</c:v>
                </c:pt>
                <c:pt idx="19">
                  <c:v>0.43171333418310082</c:v>
                </c:pt>
                <c:pt idx="20">
                  <c:v>0.39149942724619274</c:v>
                </c:pt>
                <c:pt idx="21">
                  <c:v>0.35143684509412204</c:v>
                </c:pt>
                <c:pt idx="22">
                  <c:v>0.29818194155857808</c:v>
                </c:pt>
              </c:numCache>
            </c:numRef>
          </c:yVal>
          <c:smooth val="0"/>
          <c:extLst>
            <c:ext xmlns:c16="http://schemas.microsoft.com/office/drawing/2014/chart" uri="{C3380CC4-5D6E-409C-BE32-E72D297353CC}">
              <c16:uniqueId val="{00000000-947B-41DA-BB8A-E5EE99D63D10}"/>
            </c:ext>
          </c:extLst>
        </c:ser>
        <c:dLbls>
          <c:showLegendKey val="0"/>
          <c:showVal val="0"/>
          <c:showCatName val="0"/>
          <c:showSerName val="0"/>
          <c:showPercent val="0"/>
          <c:showBubbleSize val="0"/>
        </c:dLbls>
        <c:axId val="77907072"/>
        <c:axId val="80870784"/>
      </c:scatterChart>
      <c:valAx>
        <c:axId val="77907072"/>
        <c:scaling>
          <c:orientation val="minMax"/>
        </c:scaling>
        <c:delete val="0"/>
        <c:axPos val="b"/>
        <c:minorGridlines/>
        <c:title>
          <c:tx>
            <c:rich>
              <a:bodyPr/>
              <a:lstStyle/>
              <a:p>
                <a:pPr>
                  <a:defRPr/>
                </a:pPr>
                <a:r>
                  <a:rPr lang="en-GB"/>
                  <a:t>1000/Tboil</a:t>
                </a:r>
                <a:r>
                  <a:rPr lang="en-GB" baseline="0"/>
                  <a:t>  (K^-1)</a:t>
                </a:r>
                <a:endParaRPr lang="en-GB"/>
              </a:p>
            </c:rich>
          </c:tx>
          <c:overlay val="0"/>
        </c:title>
        <c:numFmt formatCode="0.000" sourceLinked="1"/>
        <c:majorTickMark val="out"/>
        <c:minorTickMark val="none"/>
        <c:tickLblPos val="nextTo"/>
        <c:crossAx val="80870784"/>
        <c:crosses val="autoZero"/>
        <c:crossBetween val="midCat"/>
      </c:valAx>
      <c:valAx>
        <c:axId val="80870784"/>
        <c:scaling>
          <c:orientation val="minMax"/>
        </c:scaling>
        <c:delete val="0"/>
        <c:axPos val="l"/>
        <c:majorGridlines/>
        <c:title>
          <c:tx>
            <c:rich>
              <a:bodyPr rot="-5400000" vert="horz"/>
              <a:lstStyle/>
              <a:p>
                <a:pPr>
                  <a:defRPr/>
                </a:pPr>
                <a:r>
                  <a:rPr lang="en-GB"/>
                  <a:t>ln(P*/P)</a:t>
                </a:r>
              </a:p>
            </c:rich>
          </c:tx>
          <c:overlay val="0"/>
        </c:title>
        <c:numFmt formatCode="0.000" sourceLinked="1"/>
        <c:majorTickMark val="out"/>
        <c:minorTickMark val="none"/>
        <c:tickLblPos val="nextTo"/>
        <c:crossAx val="77907072"/>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a:t>
            </a:r>
            <a:r>
              <a:rPr lang="en-US" baseline="0"/>
              <a:t> vs Tboil</a:t>
            </a:r>
            <a:endParaRPr lang="en-US"/>
          </a:p>
        </c:rich>
      </c:tx>
      <c:layout>
        <c:manualLayout>
          <c:xMode val="edge"/>
          <c:yMode val="edge"/>
          <c:x val="0.37209316168092377"/>
          <c:y val="1.8018018018018018E-2"/>
        </c:manualLayout>
      </c:layout>
      <c:overlay val="0"/>
    </c:title>
    <c:autoTitleDeleted val="0"/>
    <c:plotArea>
      <c:layout/>
      <c:scatterChart>
        <c:scatterStyle val="lineMarker"/>
        <c:varyColors val="0"/>
        <c:ser>
          <c:idx val="0"/>
          <c:order val="0"/>
          <c:tx>
            <c:v>P vs Tboil</c:v>
          </c:tx>
          <c:spPr>
            <a:ln w="28575">
              <a:noFill/>
            </a:ln>
          </c:spPr>
          <c:marker>
            <c:symbol val="plus"/>
            <c:size val="10"/>
            <c:spPr>
              <a:ln>
                <a:solidFill>
                  <a:srgbClr val="FF0000"/>
                </a:solidFill>
              </a:ln>
            </c:spPr>
          </c:marker>
          <c:xVal>
            <c:numRef>
              <c:f>Sheet1!$B$9:$B$31</c:f>
              <c:numCache>
                <c:formatCode>General</c:formatCode>
                <c:ptCount val="23"/>
                <c:pt idx="0">
                  <c:v>40.700000000000003</c:v>
                </c:pt>
                <c:pt idx="1">
                  <c:v>45.4</c:v>
                </c:pt>
                <c:pt idx="2">
                  <c:v>49.5</c:v>
                </c:pt>
                <c:pt idx="3">
                  <c:v>55.9</c:v>
                </c:pt>
                <c:pt idx="4">
                  <c:v>58.4</c:v>
                </c:pt>
                <c:pt idx="5">
                  <c:v>59.6</c:v>
                </c:pt>
                <c:pt idx="6">
                  <c:v>64.5</c:v>
                </c:pt>
                <c:pt idx="7">
                  <c:v>65.900000000000006</c:v>
                </c:pt>
                <c:pt idx="8">
                  <c:v>69.900000000000006</c:v>
                </c:pt>
                <c:pt idx="9">
                  <c:v>71.599999999999994</c:v>
                </c:pt>
                <c:pt idx="10">
                  <c:v>74.599999999999994</c:v>
                </c:pt>
                <c:pt idx="11">
                  <c:v>77.8</c:v>
                </c:pt>
                <c:pt idx="12">
                  <c:v>78</c:v>
                </c:pt>
                <c:pt idx="13">
                  <c:v>80.400000000000006</c:v>
                </c:pt>
                <c:pt idx="14">
                  <c:v>81</c:v>
                </c:pt>
                <c:pt idx="15">
                  <c:v>84.8</c:v>
                </c:pt>
                <c:pt idx="16">
                  <c:v>85.5</c:v>
                </c:pt>
                <c:pt idx="17">
                  <c:v>88.2</c:v>
                </c:pt>
                <c:pt idx="18">
                  <c:v>88.6</c:v>
                </c:pt>
                <c:pt idx="19">
                  <c:v>88.8</c:v>
                </c:pt>
                <c:pt idx="20">
                  <c:v>90.5</c:v>
                </c:pt>
                <c:pt idx="21">
                  <c:v>91.7</c:v>
                </c:pt>
                <c:pt idx="22">
                  <c:v>93.2</c:v>
                </c:pt>
              </c:numCache>
            </c:numRef>
          </c:xVal>
          <c:yVal>
            <c:numRef>
              <c:f>Sheet1!$C$9:$C$31</c:f>
              <c:numCache>
                <c:formatCode>General</c:formatCode>
                <c:ptCount val="23"/>
                <c:pt idx="0">
                  <c:v>6.5</c:v>
                </c:pt>
                <c:pt idx="1">
                  <c:v>9.08</c:v>
                </c:pt>
                <c:pt idx="2">
                  <c:v>13.9</c:v>
                </c:pt>
                <c:pt idx="3">
                  <c:v>15.7</c:v>
                </c:pt>
                <c:pt idx="4">
                  <c:v>17.8</c:v>
                </c:pt>
                <c:pt idx="5">
                  <c:v>17.8</c:v>
                </c:pt>
                <c:pt idx="6">
                  <c:v>23.4</c:v>
                </c:pt>
                <c:pt idx="7">
                  <c:v>28.1</c:v>
                </c:pt>
                <c:pt idx="8">
                  <c:v>30.6</c:v>
                </c:pt>
                <c:pt idx="9">
                  <c:v>34.6</c:v>
                </c:pt>
                <c:pt idx="10">
                  <c:v>37.1</c:v>
                </c:pt>
                <c:pt idx="11">
                  <c:v>42</c:v>
                </c:pt>
                <c:pt idx="12">
                  <c:v>42.5</c:v>
                </c:pt>
                <c:pt idx="13">
                  <c:v>47.6</c:v>
                </c:pt>
                <c:pt idx="14">
                  <c:v>47.9</c:v>
                </c:pt>
                <c:pt idx="15">
                  <c:v>56.5</c:v>
                </c:pt>
                <c:pt idx="16">
                  <c:v>56.8</c:v>
                </c:pt>
                <c:pt idx="17">
                  <c:v>63.7</c:v>
                </c:pt>
                <c:pt idx="18">
                  <c:v>63.8</c:v>
                </c:pt>
                <c:pt idx="19">
                  <c:v>65.8</c:v>
                </c:pt>
                <c:pt idx="20">
                  <c:v>68.5</c:v>
                </c:pt>
                <c:pt idx="21">
                  <c:v>71.3</c:v>
                </c:pt>
                <c:pt idx="22">
                  <c:v>75.2</c:v>
                </c:pt>
              </c:numCache>
            </c:numRef>
          </c:yVal>
          <c:smooth val="0"/>
          <c:extLst>
            <c:ext xmlns:c16="http://schemas.microsoft.com/office/drawing/2014/chart" uri="{C3380CC4-5D6E-409C-BE32-E72D297353CC}">
              <c16:uniqueId val="{00000000-5A76-4CD0-B0F8-43D15C42ED70}"/>
            </c:ext>
          </c:extLst>
        </c:ser>
        <c:ser>
          <c:idx val="1"/>
          <c:order val="1"/>
          <c:tx>
            <c:v>Model</c:v>
          </c:tx>
          <c:spPr>
            <a:ln w="28575">
              <a:solidFill>
                <a:srgbClr val="0070C0"/>
              </a:solidFill>
            </a:ln>
          </c:spPr>
          <c:marker>
            <c:symbol val="none"/>
          </c:marker>
          <c:xVal>
            <c:numRef>
              <c:f>Sheet1!$B$9:$B$31</c:f>
              <c:numCache>
                <c:formatCode>General</c:formatCode>
                <c:ptCount val="23"/>
                <c:pt idx="0">
                  <c:v>40.700000000000003</c:v>
                </c:pt>
                <c:pt idx="1">
                  <c:v>45.4</c:v>
                </c:pt>
                <c:pt idx="2">
                  <c:v>49.5</c:v>
                </c:pt>
                <c:pt idx="3">
                  <c:v>55.9</c:v>
                </c:pt>
                <c:pt idx="4">
                  <c:v>58.4</c:v>
                </c:pt>
                <c:pt idx="5">
                  <c:v>59.6</c:v>
                </c:pt>
                <c:pt idx="6">
                  <c:v>64.5</c:v>
                </c:pt>
                <c:pt idx="7">
                  <c:v>65.900000000000006</c:v>
                </c:pt>
                <c:pt idx="8">
                  <c:v>69.900000000000006</c:v>
                </c:pt>
                <c:pt idx="9">
                  <c:v>71.599999999999994</c:v>
                </c:pt>
                <c:pt idx="10">
                  <c:v>74.599999999999994</c:v>
                </c:pt>
                <c:pt idx="11">
                  <c:v>77.8</c:v>
                </c:pt>
                <c:pt idx="12">
                  <c:v>78</c:v>
                </c:pt>
                <c:pt idx="13">
                  <c:v>80.400000000000006</c:v>
                </c:pt>
                <c:pt idx="14">
                  <c:v>81</c:v>
                </c:pt>
                <c:pt idx="15">
                  <c:v>84.8</c:v>
                </c:pt>
                <c:pt idx="16">
                  <c:v>85.5</c:v>
                </c:pt>
                <c:pt idx="17">
                  <c:v>88.2</c:v>
                </c:pt>
                <c:pt idx="18">
                  <c:v>88.6</c:v>
                </c:pt>
                <c:pt idx="19">
                  <c:v>88.8</c:v>
                </c:pt>
                <c:pt idx="20">
                  <c:v>90.5</c:v>
                </c:pt>
                <c:pt idx="21">
                  <c:v>91.7</c:v>
                </c:pt>
                <c:pt idx="22">
                  <c:v>93.2</c:v>
                </c:pt>
              </c:numCache>
            </c:numRef>
          </c:xVal>
          <c:yVal>
            <c:numRef>
              <c:f>Sheet1!$H$9:$H$31</c:f>
              <c:numCache>
                <c:formatCode>0.00</c:formatCode>
                <c:ptCount val="23"/>
                <c:pt idx="0">
                  <c:v>7.5097344737093801</c:v>
                </c:pt>
                <c:pt idx="1">
                  <c:v>9.5620918037974665</c:v>
                </c:pt>
                <c:pt idx="2">
                  <c:v>11.737847963576458</c:v>
                </c:pt>
                <c:pt idx="3">
                  <c:v>16.000511967232299</c:v>
                </c:pt>
                <c:pt idx="4">
                  <c:v>18.000278417788859</c:v>
                </c:pt>
                <c:pt idx="5">
                  <c:v>19.035131626712367</c:v>
                </c:pt>
                <c:pt idx="6">
                  <c:v>23.817375772533417</c:v>
                </c:pt>
                <c:pt idx="7">
                  <c:v>25.362250121696974</c:v>
                </c:pt>
                <c:pt idx="8">
                  <c:v>30.26510628870815</c:v>
                </c:pt>
                <c:pt idx="9">
                  <c:v>32.585415100953284</c:v>
                </c:pt>
                <c:pt idx="10">
                  <c:v>37.057096963406764</c:v>
                </c:pt>
                <c:pt idx="11">
                  <c:v>42.402345631418335</c:v>
                </c:pt>
                <c:pt idx="12">
                  <c:v>42.757456187070204</c:v>
                </c:pt>
                <c:pt idx="13">
                  <c:v>47.223244676873072</c:v>
                </c:pt>
                <c:pt idx="14">
                  <c:v>48.400562423563713</c:v>
                </c:pt>
                <c:pt idx="15">
                  <c:v>56.461166434123989</c:v>
                </c:pt>
                <c:pt idx="16">
                  <c:v>58.065575844895349</c:v>
                </c:pt>
                <c:pt idx="17">
                  <c:v>64.627010528844977</c:v>
                </c:pt>
                <c:pt idx="18">
                  <c:v>65.651282054805662</c:v>
                </c:pt>
                <c:pt idx="19">
                  <c:v>66.168626691040544</c:v>
                </c:pt>
                <c:pt idx="20">
                  <c:v>70.709277136692435</c:v>
                </c:pt>
                <c:pt idx="21">
                  <c:v>74.073208221069763</c:v>
                </c:pt>
                <c:pt idx="22">
                  <c:v>78.470437443239049</c:v>
                </c:pt>
              </c:numCache>
            </c:numRef>
          </c:yVal>
          <c:smooth val="0"/>
          <c:extLst>
            <c:ext xmlns:c16="http://schemas.microsoft.com/office/drawing/2014/chart" uri="{C3380CC4-5D6E-409C-BE32-E72D297353CC}">
              <c16:uniqueId val="{00000001-5A76-4CD0-B0F8-43D15C42ED70}"/>
            </c:ext>
          </c:extLst>
        </c:ser>
        <c:dLbls>
          <c:showLegendKey val="0"/>
          <c:showVal val="0"/>
          <c:showCatName val="0"/>
          <c:showSerName val="0"/>
          <c:showPercent val="0"/>
          <c:showBubbleSize val="0"/>
        </c:dLbls>
        <c:axId val="90840064"/>
        <c:axId val="90895872"/>
      </c:scatterChart>
      <c:valAx>
        <c:axId val="90840064"/>
        <c:scaling>
          <c:orientation val="minMax"/>
          <c:max val="100"/>
          <c:min val="35"/>
        </c:scaling>
        <c:delete val="0"/>
        <c:axPos val="b"/>
        <c:minorGridlines/>
        <c:title>
          <c:tx>
            <c:rich>
              <a:bodyPr/>
              <a:lstStyle/>
              <a:p>
                <a:pPr>
                  <a:defRPr/>
                </a:pPr>
                <a:r>
                  <a:rPr lang="en-GB" baseline="0"/>
                  <a:t>Boiling temperature /degC</a:t>
                </a:r>
                <a:endParaRPr lang="en-GB"/>
              </a:p>
            </c:rich>
          </c:tx>
          <c:overlay val="0"/>
        </c:title>
        <c:numFmt formatCode="General" sourceLinked="1"/>
        <c:majorTickMark val="out"/>
        <c:minorTickMark val="none"/>
        <c:tickLblPos val="nextTo"/>
        <c:crossAx val="90895872"/>
        <c:crosses val="autoZero"/>
        <c:crossBetween val="midCat"/>
      </c:valAx>
      <c:valAx>
        <c:axId val="90895872"/>
        <c:scaling>
          <c:orientation val="minMax"/>
        </c:scaling>
        <c:delete val="0"/>
        <c:axPos val="l"/>
        <c:majorGridlines/>
        <c:title>
          <c:tx>
            <c:rich>
              <a:bodyPr rot="-5400000" vert="horz"/>
              <a:lstStyle/>
              <a:p>
                <a:pPr>
                  <a:defRPr/>
                </a:pPr>
                <a:r>
                  <a:rPr lang="en-GB"/>
                  <a:t>Pressure</a:t>
                </a:r>
                <a:r>
                  <a:rPr lang="en-GB" baseline="0"/>
                  <a:t> /kPa</a:t>
                </a:r>
                <a:endParaRPr lang="en-GB"/>
              </a:p>
            </c:rich>
          </c:tx>
          <c:overlay val="0"/>
        </c:title>
        <c:numFmt formatCode="General" sourceLinked="1"/>
        <c:majorTickMark val="out"/>
        <c:minorTickMark val="none"/>
        <c:tickLblPos val="nextTo"/>
        <c:crossAx val="90840064"/>
        <c:crosses val="autoZero"/>
        <c:crossBetween val="midCat"/>
      </c:valAx>
    </c:plotArea>
    <c:legend>
      <c:legendPos val="b"/>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ln(P*/P)</a:t>
            </a:r>
            <a:r>
              <a:rPr lang="en-GB" baseline="0"/>
              <a:t> vs 1/T</a:t>
            </a:r>
            <a:endParaRPr lang="en-GB"/>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x vs y data</c:v>
          </c:tx>
          <c:spPr>
            <a:ln w="25400" cap="rnd">
              <a:noFill/>
              <a:round/>
            </a:ln>
            <a:effectLst/>
          </c:spPr>
          <c:marker>
            <c:symbol val="plus"/>
            <c:size val="10"/>
            <c:spPr>
              <a:noFill/>
              <a:ln w="9525">
                <a:solidFill>
                  <a:schemeClr val="accent1"/>
                </a:solidFill>
              </a:ln>
              <a:effectLst/>
            </c:spPr>
          </c:marker>
          <c:trendline>
            <c:spPr>
              <a:ln w="19050" cap="rnd">
                <a:solidFill>
                  <a:srgbClr val="FF0000"/>
                </a:solidFill>
                <a:prstDash val="sysDot"/>
              </a:ln>
              <a:effectLst/>
            </c:spPr>
            <c:trendlineType val="linear"/>
            <c:dispRSqr val="1"/>
            <c:dispEq val="1"/>
            <c:trendlineLbl>
              <c:layout>
                <c:manualLayout>
                  <c:x val="-9.926656014183427E-2"/>
                  <c:y val="-1.4305555555555556E-2"/>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1400" baseline="0"/>
                      <a:t>y = 5.1345x - 13.758</a:t>
                    </a:r>
                    <a:br>
                      <a:rPr lang="en-US" sz="1400" baseline="0"/>
                    </a:br>
                    <a:r>
                      <a:rPr lang="en-US" sz="1400" baseline="0"/>
                      <a:t>R² = 0.9928</a:t>
                    </a:r>
                    <a:endParaRPr lang="en-US" sz="1400"/>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Sheet2!$B$6:$B$28</c:f>
              <c:numCache>
                <c:formatCode>0.000</c:formatCode>
                <c:ptCount val="23"/>
                <c:pt idx="0">
                  <c:v>3.1877590054191902</c:v>
                </c:pt>
                <c:pt idx="1">
                  <c:v>3.1407035175879399</c:v>
                </c:pt>
                <c:pt idx="2">
                  <c:v>3.1007751937984498</c:v>
                </c:pt>
                <c:pt idx="3">
                  <c:v>3.0404378230465188</c:v>
                </c:pt>
                <c:pt idx="4">
                  <c:v>3.0175015087507546</c:v>
                </c:pt>
                <c:pt idx="5">
                  <c:v>3.0066145520144314</c:v>
                </c:pt>
                <c:pt idx="6">
                  <c:v>2.9629629629629628</c:v>
                </c:pt>
                <c:pt idx="7">
                  <c:v>2.9507229271171438</c:v>
                </c:pt>
                <c:pt idx="8">
                  <c:v>2.9163021289005542</c:v>
                </c:pt>
                <c:pt idx="9">
                  <c:v>2.9019152640742889</c:v>
                </c:pt>
                <c:pt idx="10">
                  <c:v>2.8768699654775602</c:v>
                </c:pt>
                <c:pt idx="11">
                  <c:v>2.8506271379703532</c:v>
                </c:pt>
                <c:pt idx="12">
                  <c:v>2.8490028490028489</c:v>
                </c:pt>
                <c:pt idx="13">
                  <c:v>2.8296547821165818</c:v>
                </c:pt>
                <c:pt idx="14">
                  <c:v>2.8248587570621471</c:v>
                </c:pt>
                <c:pt idx="15">
                  <c:v>2.794857462269424</c:v>
                </c:pt>
                <c:pt idx="16">
                  <c:v>2.7894002789400281</c:v>
                </c:pt>
                <c:pt idx="17">
                  <c:v>2.7685492801771874</c:v>
                </c:pt>
                <c:pt idx="18">
                  <c:v>2.7654867256637168</c:v>
                </c:pt>
                <c:pt idx="19">
                  <c:v>2.7639579878385847</c:v>
                </c:pt>
                <c:pt idx="20">
                  <c:v>2.7510316368638241</c:v>
                </c:pt>
                <c:pt idx="21">
                  <c:v>2.7419797093501508</c:v>
                </c:pt>
                <c:pt idx="22">
                  <c:v>2.7307482250136537</c:v>
                </c:pt>
              </c:numCache>
            </c:numRef>
          </c:xVal>
          <c:yVal>
            <c:numRef>
              <c:f>Sheet2!$C$6:$C$28</c:f>
              <c:numCache>
                <c:formatCode>0.000</c:formatCode>
                <c:ptCount val="23"/>
                <c:pt idx="0">
                  <c:v>2.746530995612781</c:v>
                </c:pt>
                <c:pt idx="1">
                  <c:v>2.4122589799011704</c:v>
                </c:pt>
                <c:pt idx="2">
                  <c:v>1.9864443323777261</c:v>
                </c:pt>
                <c:pt idx="3">
                  <c:v>1.8646724601601099</c:v>
                </c:pt>
                <c:pt idx="4">
                  <c:v>1.7391347152163328</c:v>
                </c:pt>
                <c:pt idx="5">
                  <c:v>1.7391347152163328</c:v>
                </c:pt>
                <c:pt idx="6">
                  <c:v>1.4655971501507166</c:v>
                </c:pt>
                <c:pt idx="7">
                  <c:v>1.2825635961746722</c:v>
                </c:pt>
                <c:pt idx="8">
                  <c:v>1.1973331635560371</c:v>
                </c:pt>
                <c:pt idx="9">
                  <c:v>1.0744794904506936</c:v>
                </c:pt>
                <c:pt idx="10">
                  <c:v>1.0047162029009826</c:v>
                </c:pt>
                <c:pt idx="11">
                  <c:v>0.88066355423100395</c:v>
                </c:pt>
                <c:pt idx="12">
                  <c:v>0.8688290965840012</c:v>
                </c:pt>
                <c:pt idx="13">
                  <c:v>0.75550041127699807</c:v>
                </c:pt>
                <c:pt idx="14">
                  <c:v>0.74921766809750279</c:v>
                </c:pt>
                <c:pt idx="15">
                  <c:v>0.58409253436197706</c:v>
                </c:pt>
                <c:pt idx="16">
                  <c:v>0.57879684678726673</c:v>
                </c:pt>
                <c:pt idx="17">
                  <c:v>0.46414860993625451</c:v>
                </c:pt>
                <c:pt idx="18">
                  <c:v>0.46257998216362817</c:v>
                </c:pt>
                <c:pt idx="19">
                  <c:v>0.43171333418310082</c:v>
                </c:pt>
                <c:pt idx="20">
                  <c:v>0.39149942724619274</c:v>
                </c:pt>
                <c:pt idx="21">
                  <c:v>0.35143684509412204</c:v>
                </c:pt>
                <c:pt idx="22">
                  <c:v>0.29818194155857808</c:v>
                </c:pt>
              </c:numCache>
            </c:numRef>
          </c:yVal>
          <c:smooth val="0"/>
          <c:extLst>
            <c:ext xmlns:c16="http://schemas.microsoft.com/office/drawing/2014/chart" uri="{C3380CC4-5D6E-409C-BE32-E72D297353CC}">
              <c16:uniqueId val="{00000001-ACBA-406D-A0FA-F5A866635B4D}"/>
            </c:ext>
          </c:extLst>
        </c:ser>
        <c:ser>
          <c:idx val="1"/>
          <c:order val="1"/>
          <c:tx>
            <c:v>y shallow</c:v>
          </c:tx>
          <c:spPr>
            <a:ln w="25400" cap="rnd">
              <a:solidFill>
                <a:srgbClr val="FF0000"/>
              </a:solidFill>
              <a:round/>
            </a:ln>
            <a:effectLst/>
          </c:spPr>
          <c:marker>
            <c:symbol val="none"/>
          </c:marker>
          <c:xVal>
            <c:numRef>
              <c:f>Sheet2!$B$6:$B$28</c:f>
              <c:numCache>
                <c:formatCode>0.000</c:formatCode>
                <c:ptCount val="23"/>
                <c:pt idx="0">
                  <c:v>3.1877590054191902</c:v>
                </c:pt>
                <c:pt idx="1">
                  <c:v>3.1407035175879399</c:v>
                </c:pt>
                <c:pt idx="2">
                  <c:v>3.1007751937984498</c:v>
                </c:pt>
                <c:pt idx="3">
                  <c:v>3.0404378230465188</c:v>
                </c:pt>
                <c:pt idx="4">
                  <c:v>3.0175015087507546</c:v>
                </c:pt>
                <c:pt idx="5">
                  <c:v>3.0066145520144314</c:v>
                </c:pt>
                <c:pt idx="6">
                  <c:v>2.9629629629629628</c:v>
                </c:pt>
                <c:pt idx="7">
                  <c:v>2.9507229271171438</c:v>
                </c:pt>
                <c:pt idx="8">
                  <c:v>2.9163021289005542</c:v>
                </c:pt>
                <c:pt idx="9">
                  <c:v>2.9019152640742889</c:v>
                </c:pt>
                <c:pt idx="10">
                  <c:v>2.8768699654775602</c:v>
                </c:pt>
                <c:pt idx="11">
                  <c:v>2.8506271379703532</c:v>
                </c:pt>
                <c:pt idx="12">
                  <c:v>2.8490028490028489</c:v>
                </c:pt>
                <c:pt idx="13">
                  <c:v>2.8296547821165818</c:v>
                </c:pt>
                <c:pt idx="14">
                  <c:v>2.8248587570621471</c:v>
                </c:pt>
                <c:pt idx="15">
                  <c:v>2.794857462269424</c:v>
                </c:pt>
                <c:pt idx="16">
                  <c:v>2.7894002789400281</c:v>
                </c:pt>
                <c:pt idx="17">
                  <c:v>2.7685492801771874</c:v>
                </c:pt>
                <c:pt idx="18">
                  <c:v>2.7654867256637168</c:v>
                </c:pt>
                <c:pt idx="19">
                  <c:v>2.7639579878385847</c:v>
                </c:pt>
                <c:pt idx="20">
                  <c:v>2.7510316368638241</c:v>
                </c:pt>
                <c:pt idx="21">
                  <c:v>2.7419797093501508</c:v>
                </c:pt>
                <c:pt idx="22">
                  <c:v>2.7307482250136537</c:v>
                </c:pt>
              </c:numCache>
            </c:numRef>
          </c:xVal>
          <c:yVal>
            <c:numRef>
              <c:f>Sheet2!$J$6:$J$28</c:f>
              <c:numCache>
                <c:formatCode>0.00</c:formatCode>
                <c:ptCount val="23"/>
                <c:pt idx="0">
                  <c:v>2.4682115525540307</c:v>
                </c:pt>
                <c:pt idx="1">
                  <c:v>2.2310906080351756</c:v>
                </c:pt>
                <c:pt idx="2">
                  <c:v>2.0298847065264716</c:v>
                </c:pt>
                <c:pt idx="3">
                  <c:v>1.7258339995443077</c:v>
                </c:pt>
                <c:pt idx="4">
                  <c:v>1.6102538459797107</c:v>
                </c:pt>
                <c:pt idx="5">
                  <c:v>1.5553925410983169</c:v>
                </c:pt>
                <c:pt idx="6">
                  <c:v>1.3354244459262354</c:v>
                </c:pt>
                <c:pt idx="7">
                  <c:v>1.2737447355571991</c:v>
                </c:pt>
                <c:pt idx="8">
                  <c:v>1.1002922317072603</c:v>
                </c:pt>
                <c:pt idx="9">
                  <c:v>1.0277942695460116</c:v>
                </c:pt>
                <c:pt idx="10">
                  <c:v>0.90158657023768396</c:v>
                </c:pt>
                <c:pt idx="11">
                  <c:v>0.76934431046831908</c:v>
                </c:pt>
                <c:pt idx="12">
                  <c:v>0.76115923042988887</c:v>
                </c:pt>
                <c:pt idx="13">
                  <c:v>0.66366089163594322</c:v>
                </c:pt>
                <c:pt idx="14">
                  <c:v>0.63949287121456355</c:v>
                </c:pt>
                <c:pt idx="15">
                  <c:v>0.48831102854509584</c:v>
                </c:pt>
                <c:pt idx="16">
                  <c:v>0.46081131437531592</c:v>
                </c:pt>
                <c:pt idx="17">
                  <c:v>0.35573943543662284</c:v>
                </c:pt>
                <c:pt idx="18">
                  <c:v>0.3403066803565154</c:v>
                </c:pt>
                <c:pt idx="19">
                  <c:v>0.33260309946246674</c:v>
                </c:pt>
                <c:pt idx="20">
                  <c:v>0.26746492549836748</c:v>
                </c:pt>
                <c:pt idx="21">
                  <c:v>0.22185065815816191</c:v>
                </c:pt>
                <c:pt idx="22">
                  <c:v>0.16525321762647077</c:v>
                </c:pt>
              </c:numCache>
            </c:numRef>
          </c:yVal>
          <c:smooth val="0"/>
          <c:extLst>
            <c:ext xmlns:c16="http://schemas.microsoft.com/office/drawing/2014/chart" uri="{C3380CC4-5D6E-409C-BE32-E72D297353CC}">
              <c16:uniqueId val="{00000002-ACBA-406D-A0FA-F5A866635B4D}"/>
            </c:ext>
          </c:extLst>
        </c:ser>
        <c:ser>
          <c:idx val="2"/>
          <c:order val="2"/>
          <c:tx>
            <c:v>y steep</c:v>
          </c:tx>
          <c:spPr>
            <a:ln w="25400" cap="rnd">
              <a:solidFill>
                <a:srgbClr val="FF0000"/>
              </a:solidFill>
              <a:round/>
            </a:ln>
            <a:effectLst/>
          </c:spPr>
          <c:marker>
            <c:symbol val="none"/>
          </c:marker>
          <c:xVal>
            <c:numRef>
              <c:f>Sheet2!$B$6:$B$28</c:f>
              <c:numCache>
                <c:formatCode>0.000</c:formatCode>
                <c:ptCount val="23"/>
                <c:pt idx="0">
                  <c:v>3.1877590054191902</c:v>
                </c:pt>
                <c:pt idx="1">
                  <c:v>3.1407035175879399</c:v>
                </c:pt>
                <c:pt idx="2">
                  <c:v>3.1007751937984498</c:v>
                </c:pt>
                <c:pt idx="3">
                  <c:v>3.0404378230465188</c:v>
                </c:pt>
                <c:pt idx="4">
                  <c:v>3.0175015087507546</c:v>
                </c:pt>
                <c:pt idx="5">
                  <c:v>3.0066145520144314</c:v>
                </c:pt>
                <c:pt idx="6">
                  <c:v>2.9629629629629628</c:v>
                </c:pt>
                <c:pt idx="7">
                  <c:v>2.9507229271171438</c:v>
                </c:pt>
                <c:pt idx="8">
                  <c:v>2.9163021289005542</c:v>
                </c:pt>
                <c:pt idx="9">
                  <c:v>2.9019152640742889</c:v>
                </c:pt>
                <c:pt idx="10">
                  <c:v>2.8768699654775602</c:v>
                </c:pt>
                <c:pt idx="11">
                  <c:v>2.8506271379703532</c:v>
                </c:pt>
                <c:pt idx="12">
                  <c:v>2.8490028490028489</c:v>
                </c:pt>
                <c:pt idx="13">
                  <c:v>2.8296547821165818</c:v>
                </c:pt>
                <c:pt idx="14">
                  <c:v>2.8248587570621471</c:v>
                </c:pt>
                <c:pt idx="15">
                  <c:v>2.794857462269424</c:v>
                </c:pt>
                <c:pt idx="16">
                  <c:v>2.7894002789400281</c:v>
                </c:pt>
                <c:pt idx="17">
                  <c:v>2.7685492801771874</c:v>
                </c:pt>
                <c:pt idx="18">
                  <c:v>2.7654867256637168</c:v>
                </c:pt>
                <c:pt idx="19">
                  <c:v>2.7639579878385847</c:v>
                </c:pt>
                <c:pt idx="20">
                  <c:v>2.7510316368638241</c:v>
                </c:pt>
                <c:pt idx="21">
                  <c:v>2.7419797093501508</c:v>
                </c:pt>
                <c:pt idx="22">
                  <c:v>2.7307482250136537</c:v>
                </c:pt>
              </c:numCache>
            </c:numRef>
          </c:xVal>
          <c:yVal>
            <c:numRef>
              <c:f>Sheet2!$I$6:$I$28</c:f>
              <c:numCache>
                <c:formatCode>0.00</c:formatCode>
                <c:ptCount val="23"/>
                <c:pt idx="0">
                  <c:v>2.7506461788750909</c:v>
                </c:pt>
                <c:pt idx="1">
                  <c:v>2.5045542637461229</c:v>
                </c:pt>
                <c:pt idx="2">
                  <c:v>2.2957361614987701</c:v>
                </c:pt>
                <c:pt idx="3">
                  <c:v>1.9801823375656535</c:v>
                </c:pt>
                <c:pt idx="4">
                  <c:v>1.8602294527653391</c:v>
                </c:pt>
                <c:pt idx="5">
                  <c:v>1.8032925861712445</c:v>
                </c:pt>
                <c:pt idx="6">
                  <c:v>1.5750024622515333</c:v>
                </c:pt>
                <c:pt idx="7">
                  <c:v>1.5109892301850187</c:v>
                </c:pt>
                <c:pt idx="8">
                  <c:v>1.3309745168371154</c:v>
                </c:pt>
                <c:pt idx="9">
                  <c:v>1.2557337472483681</c:v>
                </c:pt>
                <c:pt idx="10">
                  <c:v>1.1247512459352584</c:v>
                </c:pt>
                <c:pt idx="11">
                  <c:v>0.9875058792990028</c:v>
                </c:pt>
                <c:pt idx="12">
                  <c:v>0.97901113402785778</c:v>
                </c:pt>
                <c:pt idx="13">
                  <c:v>0.87782415130737124</c:v>
                </c:pt>
                <c:pt idx="14">
                  <c:v>0.85274178482792773</c:v>
                </c:pt>
                <c:pt idx="15">
                  <c:v>0.69584029613511045</c:v>
                </c:pt>
                <c:pt idx="16">
                  <c:v>0.66730018830417914</c:v>
                </c:pt>
                <c:pt idx="17">
                  <c:v>0.55825313652775566</c:v>
                </c:pt>
                <c:pt idx="18">
                  <c:v>0.54223651572234455</c:v>
                </c:pt>
                <c:pt idx="19">
                  <c:v>0.5342414860997422</c:v>
                </c:pt>
                <c:pt idx="20">
                  <c:v>0.46663894676541479</c:v>
                </c:pt>
                <c:pt idx="21">
                  <c:v>0.41929895986660587</c:v>
                </c:pt>
                <c:pt idx="22">
                  <c:v>0.36056027459313239</c:v>
                </c:pt>
              </c:numCache>
            </c:numRef>
          </c:yVal>
          <c:smooth val="0"/>
          <c:extLst>
            <c:ext xmlns:c16="http://schemas.microsoft.com/office/drawing/2014/chart" uri="{C3380CC4-5D6E-409C-BE32-E72D297353CC}">
              <c16:uniqueId val="{00000003-ACBA-406D-A0FA-F5A866635B4D}"/>
            </c:ext>
          </c:extLst>
        </c:ser>
        <c:dLbls>
          <c:showLegendKey val="0"/>
          <c:showVal val="0"/>
          <c:showCatName val="0"/>
          <c:showSerName val="0"/>
          <c:showPercent val="0"/>
          <c:showBubbleSize val="0"/>
        </c:dLbls>
        <c:axId val="372400016"/>
        <c:axId val="372398048"/>
      </c:scatterChart>
      <c:valAx>
        <c:axId val="3724000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1000/Tboil</a:t>
                </a:r>
                <a:r>
                  <a:rPr lang="en-GB" baseline="0"/>
                  <a:t> (K^-1)</a:t>
                </a:r>
                <a:endParaRPr lang="en-GB"/>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2398048"/>
        <c:crosses val="autoZero"/>
        <c:crossBetween val="midCat"/>
      </c:valAx>
      <c:valAx>
        <c:axId val="3723980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ln(</a:t>
                </a:r>
                <a:r>
                  <a:rPr lang="en-GB" baseline="0"/>
                  <a:t> P*/P)</a:t>
                </a:r>
                <a:endParaRPr lang="en-GB"/>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24000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2.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297180</xdr:colOff>
      <xdr:row>4</xdr:row>
      <xdr:rowOff>68580</xdr:rowOff>
    </xdr:from>
    <xdr:to>
      <xdr:col>15</xdr:col>
      <xdr:colOff>60960</xdr:colOff>
      <xdr:row>16</xdr:row>
      <xdr:rowOff>91440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19</xdr:col>
      <xdr:colOff>71048</xdr:colOff>
      <xdr:row>22</xdr:row>
      <xdr:rowOff>48985</xdr:rowOff>
    </xdr:from>
    <xdr:to>
      <xdr:col>26</xdr:col>
      <xdr:colOff>376923</xdr:colOff>
      <xdr:row>37</xdr:row>
      <xdr:rowOff>76199</xdr:rowOff>
    </xdr:to>
    <xdr:pic>
      <xdr:nvPicPr>
        <xdr:cNvPr id="1028" name="Picture 4" descr="https://upload.wikimedia.org/wikipedia/commons/9/9c/Heat_of_Vaporization_%28Benzene%2BAcetone%2BMethanol%2BWater%29.png"/>
        <xdr:cNvPicPr>
          <a:picLocks noChangeAspect="1" noChangeArrowheads="1"/>
        </xdr:cNvPicPr>
      </xdr:nvPicPr>
      <xdr:blipFill>
        <a:blip xmlns:r="http://schemas.openxmlformats.org/officeDocument/2006/relationships" r:embed="rId2" cstate="print"/>
        <a:srcRect/>
        <a:stretch>
          <a:fillRect/>
        </a:stretch>
      </xdr:blipFill>
      <xdr:spPr bwMode="auto">
        <a:xfrm>
          <a:off x="17401105" y="5208814"/>
          <a:ext cx="4573075" cy="4076699"/>
        </a:xfrm>
        <a:prstGeom prst="rect">
          <a:avLst/>
        </a:prstGeom>
        <a:noFill/>
      </xdr:spPr>
    </xdr:pic>
    <xdr:clientData/>
  </xdr:twoCellAnchor>
  <xdr:twoCellAnchor>
    <xdr:from>
      <xdr:col>8</xdr:col>
      <xdr:colOff>298270</xdr:colOff>
      <xdr:row>25</xdr:row>
      <xdr:rowOff>76199</xdr:rowOff>
    </xdr:from>
    <xdr:to>
      <xdr:col>18</xdr:col>
      <xdr:colOff>435429</xdr:colOff>
      <xdr:row>40</xdr:row>
      <xdr:rowOff>152400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15</xdr:col>
          <xdr:colOff>166688</xdr:colOff>
          <xdr:row>4</xdr:row>
          <xdr:rowOff>71438</xdr:rowOff>
        </xdr:from>
        <xdr:to>
          <xdr:col>20</xdr:col>
          <xdr:colOff>266700</xdr:colOff>
          <xdr:row>21</xdr:row>
          <xdr:rowOff>38100</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320237</xdr:colOff>
      <xdr:row>6</xdr:row>
      <xdr:rowOff>55837</xdr:rowOff>
    </xdr:from>
    <xdr:to>
      <xdr:col>7</xdr:col>
      <xdr:colOff>509096</xdr:colOff>
      <xdr:row>22</xdr:row>
      <xdr:rowOff>128094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713258</xdr:colOff>
      <xdr:row>24</xdr:row>
      <xdr:rowOff>41411</xdr:rowOff>
    </xdr:from>
    <xdr:to>
      <xdr:col>8</xdr:col>
      <xdr:colOff>513521</xdr:colOff>
      <xdr:row>36</xdr:row>
      <xdr:rowOff>12682</xdr:rowOff>
    </xdr:to>
    <xdr:pic>
      <xdr:nvPicPr>
        <xdr:cNvPr id="3" name="Picture 2"/>
        <xdr:cNvPicPr>
          <a:picLocks noChangeAspect="1"/>
        </xdr:cNvPicPr>
      </xdr:nvPicPr>
      <xdr:blipFill>
        <a:blip xmlns:r="http://schemas.openxmlformats.org/officeDocument/2006/relationships" r:embed="rId2"/>
        <a:stretch>
          <a:fillRect/>
        </a:stretch>
      </xdr:blipFill>
      <xdr:spPr>
        <a:xfrm>
          <a:off x="1711313" y="4592705"/>
          <a:ext cx="4285295" cy="21578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Q38"/>
  <sheetViews>
    <sheetView zoomScale="70" zoomScaleNormal="70" workbookViewId="0">
      <selection activeCell="F8" sqref="F8:G31"/>
    </sheetView>
  </sheetViews>
  <sheetFormatPr defaultColWidth="8.86328125" defaultRowHeight="14.25" x14ac:dyDescent="0.45"/>
  <cols>
    <col min="1" max="1" width="8.86328125" style="1"/>
    <col min="2" max="2" width="16.19921875" style="1" customWidth="1"/>
    <col min="3" max="3" width="16.33203125" style="1" customWidth="1"/>
    <col min="4" max="4" width="14.46484375" style="1" customWidth="1"/>
    <col min="5" max="5" width="54.46484375" style="1" customWidth="1"/>
    <col min="6" max="6" width="11.796875" style="1" customWidth="1"/>
    <col min="7" max="7" width="22.46484375" style="1" customWidth="1"/>
    <col min="8" max="8" width="10.46484375" style="1" customWidth="1"/>
    <col min="9" max="16384" width="8.86328125" style="1"/>
  </cols>
  <sheetData>
    <row r="2" spans="2:17" x14ac:dyDescent="0.45">
      <c r="B2" s="3" t="s">
        <v>0</v>
      </c>
      <c r="C2" s="3"/>
      <c r="G2" s="3" t="s">
        <v>9</v>
      </c>
    </row>
    <row r="3" spans="2:17" x14ac:dyDescent="0.45">
      <c r="B3" s="1" t="s">
        <v>1</v>
      </c>
      <c r="G3" s="11" t="s">
        <v>7</v>
      </c>
      <c r="H3" s="11">
        <v>101.325</v>
      </c>
    </row>
    <row r="4" spans="2:17" x14ac:dyDescent="0.45">
      <c r="G4" s="11" t="s">
        <v>8</v>
      </c>
      <c r="H4" s="11">
        <f>373</f>
        <v>373</v>
      </c>
      <c r="Q4" s="3" t="s">
        <v>12</v>
      </c>
    </row>
    <row r="5" spans="2:17" x14ac:dyDescent="0.45">
      <c r="B5" s="1" t="s">
        <v>6</v>
      </c>
      <c r="G5" s="11" t="s">
        <v>15</v>
      </c>
      <c r="H5" s="11">
        <v>43.78</v>
      </c>
    </row>
    <row r="6" spans="2:17" x14ac:dyDescent="0.45">
      <c r="G6" s="11" t="s">
        <v>10</v>
      </c>
      <c r="H6" s="11">
        <v>8.3140000000000001</v>
      </c>
    </row>
    <row r="7" spans="2:17" x14ac:dyDescent="0.45">
      <c r="G7" s="6"/>
      <c r="H7" s="6"/>
    </row>
    <row r="8" spans="2:17" s="2" customFormat="1" ht="42.75" x14ac:dyDescent="0.45">
      <c r="B8" s="7" t="s">
        <v>2</v>
      </c>
      <c r="C8" s="7" t="s">
        <v>4</v>
      </c>
      <c r="D8" s="7" t="s">
        <v>3</v>
      </c>
      <c r="E8" s="4" t="s">
        <v>5</v>
      </c>
      <c r="F8" s="9" t="s">
        <v>17</v>
      </c>
      <c r="G8" s="9" t="s">
        <v>11</v>
      </c>
      <c r="H8" s="13" t="s">
        <v>16</v>
      </c>
    </row>
    <row r="9" spans="2:17" x14ac:dyDescent="0.45">
      <c r="B9" s="8">
        <v>40.700000000000003</v>
      </c>
      <c r="C9" s="8">
        <v>6.5</v>
      </c>
      <c r="D9" s="8">
        <v>28.9</v>
      </c>
      <c r="E9" s="5" t="s">
        <v>22</v>
      </c>
      <c r="F9" s="10">
        <f t="shared" ref="F9:F31" si="0">1000/(B9+273)</f>
        <v>3.1877590054191902</v>
      </c>
      <c r="G9" s="10">
        <f t="shared" ref="G9:G31" si="1">LN($H$3/C9)</f>
        <v>2.746530995612781</v>
      </c>
      <c r="H9" s="14">
        <f t="shared" ref="H9:H31" si="2">$H$3*EXP($K$21*1000/($H$6*$H$4))*EXP( -$K$21*1000/($H$6*(B9+273)))</f>
        <v>7.5097344737093801</v>
      </c>
    </row>
    <row r="10" spans="2:17" ht="57" x14ac:dyDescent="0.45">
      <c r="B10" s="8">
        <v>45.4</v>
      </c>
      <c r="C10" s="8">
        <v>9.08</v>
      </c>
      <c r="D10" s="8">
        <v>21.7</v>
      </c>
      <c r="E10" s="5" t="s">
        <v>18</v>
      </c>
      <c r="F10" s="10">
        <f t="shared" si="0"/>
        <v>3.1407035175879399</v>
      </c>
      <c r="G10" s="10">
        <f t="shared" si="1"/>
        <v>2.4122589799011704</v>
      </c>
      <c r="H10" s="14">
        <f t="shared" si="2"/>
        <v>9.5620918037974665</v>
      </c>
    </row>
    <row r="11" spans="2:17" x14ac:dyDescent="0.45">
      <c r="B11" s="8">
        <v>49.5</v>
      </c>
      <c r="C11" s="8">
        <v>13.9</v>
      </c>
      <c r="D11" s="8">
        <v>27.4</v>
      </c>
      <c r="E11" s="5" t="s">
        <v>21</v>
      </c>
      <c r="F11" s="10">
        <f t="shared" si="0"/>
        <v>3.1007751937984498</v>
      </c>
      <c r="G11" s="10">
        <f t="shared" si="1"/>
        <v>1.9864443323777261</v>
      </c>
      <c r="H11" s="14">
        <f t="shared" si="2"/>
        <v>11.737847963576458</v>
      </c>
    </row>
    <row r="12" spans="2:17" x14ac:dyDescent="0.45">
      <c r="B12" s="8">
        <v>55.9</v>
      </c>
      <c r="C12" s="8">
        <v>15.7</v>
      </c>
      <c r="D12" s="8">
        <v>26.7</v>
      </c>
      <c r="E12" s="5" t="s">
        <v>21</v>
      </c>
      <c r="F12" s="10">
        <f t="shared" si="0"/>
        <v>3.0404378230465188</v>
      </c>
      <c r="G12" s="10">
        <f t="shared" si="1"/>
        <v>1.8646724601601099</v>
      </c>
      <c r="H12" s="14">
        <f t="shared" si="2"/>
        <v>16.000511967232299</v>
      </c>
    </row>
    <row r="13" spans="2:17" x14ac:dyDescent="0.45">
      <c r="B13" s="8">
        <v>58.4</v>
      </c>
      <c r="C13" s="8">
        <v>17.8</v>
      </c>
      <c r="D13" s="8">
        <v>23.5</v>
      </c>
      <c r="E13" s="5" t="s">
        <v>20</v>
      </c>
      <c r="F13" s="10">
        <f t="shared" si="0"/>
        <v>3.0175015087507546</v>
      </c>
      <c r="G13" s="10">
        <f t="shared" si="1"/>
        <v>1.7391347152163328</v>
      </c>
      <c r="H13" s="14">
        <f t="shared" si="2"/>
        <v>18.000278417788859</v>
      </c>
    </row>
    <row r="14" spans="2:17" x14ac:dyDescent="0.45">
      <c r="B14" s="8">
        <v>59.6</v>
      </c>
      <c r="C14" s="8">
        <v>17.8</v>
      </c>
      <c r="D14" s="8">
        <v>30.9</v>
      </c>
      <c r="E14" s="5" t="s">
        <v>21</v>
      </c>
      <c r="F14" s="10">
        <f t="shared" si="0"/>
        <v>3.0066145520144314</v>
      </c>
      <c r="G14" s="10">
        <f t="shared" si="1"/>
        <v>1.7391347152163328</v>
      </c>
      <c r="H14" s="14">
        <f t="shared" si="2"/>
        <v>19.035131626712367</v>
      </c>
    </row>
    <row r="15" spans="2:17" x14ac:dyDescent="0.45">
      <c r="B15" s="8">
        <v>64.5</v>
      </c>
      <c r="C15" s="8">
        <v>23.4</v>
      </c>
      <c r="D15" s="8">
        <v>23.6</v>
      </c>
      <c r="E15" s="5" t="s">
        <v>20</v>
      </c>
      <c r="F15" s="10">
        <f t="shared" si="0"/>
        <v>2.9629629629629628</v>
      </c>
      <c r="G15" s="10">
        <f t="shared" si="1"/>
        <v>1.4655971501507166</v>
      </c>
      <c r="H15" s="14">
        <f t="shared" si="2"/>
        <v>23.817375772533417</v>
      </c>
    </row>
    <row r="16" spans="2:17" x14ac:dyDescent="0.45">
      <c r="B16" s="8">
        <v>65.900000000000006</v>
      </c>
      <c r="C16" s="8">
        <v>28.1</v>
      </c>
      <c r="D16" s="8">
        <v>27.4</v>
      </c>
      <c r="E16" s="5" t="s">
        <v>21</v>
      </c>
      <c r="F16" s="10">
        <f t="shared" si="0"/>
        <v>2.9507229271171438</v>
      </c>
      <c r="G16" s="10">
        <f t="shared" si="1"/>
        <v>1.2825635961746722</v>
      </c>
      <c r="H16" s="14">
        <f t="shared" si="2"/>
        <v>25.362250121696974</v>
      </c>
    </row>
    <row r="17" spans="2:14" x14ac:dyDescent="0.45">
      <c r="B17" s="8">
        <v>69.900000000000006</v>
      </c>
      <c r="C17" s="8">
        <v>30.6</v>
      </c>
      <c r="D17" s="8">
        <v>31.8</v>
      </c>
      <c r="E17" s="5" t="s">
        <v>21</v>
      </c>
      <c r="F17" s="10">
        <f t="shared" si="0"/>
        <v>2.9163021289005542</v>
      </c>
      <c r="G17" s="10">
        <f t="shared" si="1"/>
        <v>1.1973331635560371</v>
      </c>
      <c r="H17" s="14">
        <f t="shared" si="2"/>
        <v>30.26510628870815</v>
      </c>
    </row>
    <row r="18" spans="2:14" x14ac:dyDescent="0.45">
      <c r="B18" s="8">
        <v>71.599999999999994</v>
      </c>
      <c r="C18" s="8">
        <v>34.6</v>
      </c>
      <c r="D18" s="8">
        <v>28.7</v>
      </c>
      <c r="E18" s="5" t="s">
        <v>21</v>
      </c>
      <c r="F18" s="10">
        <f t="shared" si="0"/>
        <v>2.9019152640742889</v>
      </c>
      <c r="G18" s="10">
        <f t="shared" si="1"/>
        <v>1.0744794904506936</v>
      </c>
      <c r="H18" s="14">
        <f t="shared" si="2"/>
        <v>32.585415100953284</v>
      </c>
    </row>
    <row r="19" spans="2:14" x14ac:dyDescent="0.45">
      <c r="B19" s="8">
        <v>74.599999999999994</v>
      </c>
      <c r="C19" s="8">
        <v>37.1</v>
      </c>
      <c r="D19" s="8">
        <v>30.3</v>
      </c>
      <c r="E19" s="5" t="s">
        <v>20</v>
      </c>
      <c r="F19" s="10">
        <f t="shared" si="0"/>
        <v>2.8768699654775602</v>
      </c>
      <c r="G19" s="10">
        <f t="shared" si="1"/>
        <v>1.0047162029009826</v>
      </c>
      <c r="H19" s="14">
        <f t="shared" si="2"/>
        <v>37.057096963406764</v>
      </c>
    </row>
    <row r="20" spans="2:14" x14ac:dyDescent="0.45">
      <c r="B20" s="8">
        <v>77.8</v>
      </c>
      <c r="C20" s="8">
        <v>42</v>
      </c>
      <c r="D20" s="8">
        <v>29.9</v>
      </c>
      <c r="E20" s="5" t="s">
        <v>21</v>
      </c>
      <c r="F20" s="10">
        <f t="shared" si="0"/>
        <v>2.8506271379703532</v>
      </c>
      <c r="G20" s="10">
        <f t="shared" si="1"/>
        <v>0.88066355423100395</v>
      </c>
      <c r="H20" s="14">
        <f t="shared" si="2"/>
        <v>42.402345631418335</v>
      </c>
      <c r="K20" s="3" t="s">
        <v>13</v>
      </c>
    </row>
    <row r="21" spans="2:14" x14ac:dyDescent="0.45">
      <c r="B21" s="8">
        <v>78</v>
      </c>
      <c r="C21" s="8">
        <v>42.5</v>
      </c>
      <c r="D21" s="8">
        <v>33.4</v>
      </c>
      <c r="E21" s="5" t="s">
        <v>21</v>
      </c>
      <c r="F21" s="10">
        <f t="shared" si="0"/>
        <v>2.8490028490028489</v>
      </c>
      <c r="G21" s="10">
        <f t="shared" si="1"/>
        <v>0.8688290965840012</v>
      </c>
      <c r="H21" s="14">
        <f t="shared" si="2"/>
        <v>42.757456187070204</v>
      </c>
      <c r="K21" s="12">
        <f>8.314*5.1345</f>
        <v>42.688233000000004</v>
      </c>
    </row>
    <row r="22" spans="2:14" x14ac:dyDescent="0.45">
      <c r="B22" s="8">
        <v>80.400000000000006</v>
      </c>
      <c r="C22" s="8">
        <v>47.6</v>
      </c>
      <c r="D22" s="8">
        <v>33.4</v>
      </c>
      <c r="E22" s="5" t="s">
        <v>20</v>
      </c>
      <c r="F22" s="10">
        <f t="shared" si="0"/>
        <v>2.8296547821165818</v>
      </c>
      <c r="G22" s="10">
        <f t="shared" si="1"/>
        <v>0.75550041127699807</v>
      </c>
      <c r="H22" s="14">
        <f t="shared" si="2"/>
        <v>47.223244676873072</v>
      </c>
    </row>
    <row r="23" spans="2:14" x14ac:dyDescent="0.45">
      <c r="B23" s="8">
        <v>81</v>
      </c>
      <c r="C23" s="8">
        <v>47.9</v>
      </c>
      <c r="D23" s="8">
        <v>32.200000000000003</v>
      </c>
      <c r="E23" s="5" t="s">
        <v>21</v>
      </c>
      <c r="F23" s="10">
        <f t="shared" si="0"/>
        <v>2.8248587570621471</v>
      </c>
      <c r="G23" s="10">
        <f t="shared" si="1"/>
        <v>0.74921766809750279</v>
      </c>
      <c r="H23" s="14">
        <f t="shared" si="2"/>
        <v>48.400562423563713</v>
      </c>
      <c r="K23" s="3" t="s">
        <v>14</v>
      </c>
    </row>
    <row r="24" spans="2:14" x14ac:dyDescent="0.45">
      <c r="B24" s="8">
        <v>84.8</v>
      </c>
      <c r="C24" s="8">
        <v>56.5</v>
      </c>
      <c r="D24" s="8">
        <v>34.9</v>
      </c>
      <c r="E24" s="5" t="s">
        <v>20</v>
      </c>
      <c r="F24" s="10">
        <f t="shared" si="0"/>
        <v>2.794857462269424</v>
      </c>
      <c r="G24" s="10">
        <f t="shared" si="1"/>
        <v>0.58409253436197706</v>
      </c>
      <c r="H24" s="14">
        <f t="shared" si="2"/>
        <v>56.461166434123989</v>
      </c>
      <c r="K24" s="12">
        <f>13.758*8.314*373/1000</f>
        <v>42.665236475999997</v>
      </c>
    </row>
    <row r="25" spans="2:14" x14ac:dyDescent="0.45">
      <c r="B25" s="8">
        <v>85.5</v>
      </c>
      <c r="C25" s="8">
        <v>56.8</v>
      </c>
      <c r="D25" s="8">
        <v>34.1</v>
      </c>
      <c r="E25" s="5" t="s">
        <v>21</v>
      </c>
      <c r="F25" s="10">
        <f t="shared" si="0"/>
        <v>2.7894002789400281</v>
      </c>
      <c r="G25" s="10">
        <f t="shared" si="1"/>
        <v>0.57879684678726673</v>
      </c>
      <c r="H25" s="14">
        <f t="shared" si="2"/>
        <v>58.065575844895349</v>
      </c>
    </row>
    <row r="26" spans="2:14" ht="114" x14ac:dyDescent="0.45">
      <c r="B26" s="8">
        <v>88.2</v>
      </c>
      <c r="C26" s="8">
        <v>63.7</v>
      </c>
      <c r="D26" s="8">
        <v>36.119999999999997</v>
      </c>
      <c r="E26" s="5" t="s">
        <v>19</v>
      </c>
      <c r="F26" s="10">
        <f t="shared" si="0"/>
        <v>2.7685492801771874</v>
      </c>
      <c r="G26" s="10">
        <f t="shared" si="1"/>
        <v>0.46414860993625451</v>
      </c>
      <c r="H26" s="14">
        <f t="shared" si="2"/>
        <v>64.627010528844977</v>
      </c>
    </row>
    <row r="27" spans="2:14" x14ac:dyDescent="0.45">
      <c r="B27" s="8">
        <v>88.6</v>
      </c>
      <c r="C27" s="8">
        <v>63.8</v>
      </c>
      <c r="D27" s="8">
        <v>36.700000000000003</v>
      </c>
      <c r="E27" s="5" t="s">
        <v>21</v>
      </c>
      <c r="F27" s="10">
        <f t="shared" si="0"/>
        <v>2.7654867256637168</v>
      </c>
      <c r="G27" s="10">
        <f t="shared" si="1"/>
        <v>0.46257998216362817</v>
      </c>
      <c r="H27" s="14">
        <f t="shared" si="2"/>
        <v>65.651282054805662</v>
      </c>
    </row>
    <row r="28" spans="2:14" x14ac:dyDescent="0.45">
      <c r="B28" s="8">
        <v>88.8</v>
      </c>
      <c r="C28" s="8">
        <v>65.8</v>
      </c>
      <c r="D28" s="8">
        <v>35.700000000000003</v>
      </c>
      <c r="E28" s="5" t="s">
        <v>20</v>
      </c>
      <c r="F28" s="10">
        <f t="shared" si="0"/>
        <v>2.7639579878385847</v>
      </c>
      <c r="G28" s="10">
        <f t="shared" si="1"/>
        <v>0.43171333418310082</v>
      </c>
      <c r="H28" s="14">
        <f t="shared" si="2"/>
        <v>66.168626691040544</v>
      </c>
    </row>
    <row r="29" spans="2:14" x14ac:dyDescent="0.45">
      <c r="B29" s="8">
        <v>90.5</v>
      </c>
      <c r="C29" s="8">
        <v>68.5</v>
      </c>
      <c r="D29" s="8">
        <v>38.200000000000003</v>
      </c>
      <c r="E29" s="5" t="s">
        <v>21</v>
      </c>
      <c r="F29" s="10">
        <f t="shared" si="0"/>
        <v>2.7510316368638241</v>
      </c>
      <c r="G29" s="10">
        <f t="shared" si="1"/>
        <v>0.39149942724619274</v>
      </c>
      <c r="H29" s="14">
        <f t="shared" si="2"/>
        <v>70.709277136692435</v>
      </c>
    </row>
    <row r="30" spans="2:14" x14ac:dyDescent="0.45">
      <c r="B30" s="8">
        <v>91.7</v>
      </c>
      <c r="C30" s="8">
        <v>71.3</v>
      </c>
      <c r="D30" s="8">
        <v>40.200000000000003</v>
      </c>
      <c r="E30" s="5" t="s">
        <v>21</v>
      </c>
      <c r="F30" s="10">
        <f t="shared" si="0"/>
        <v>2.7419797093501508</v>
      </c>
      <c r="G30" s="10">
        <f t="shared" si="1"/>
        <v>0.35143684509412204</v>
      </c>
      <c r="H30" s="14">
        <f t="shared" si="2"/>
        <v>74.073208221069763</v>
      </c>
      <c r="N30"/>
    </row>
    <row r="31" spans="2:14" x14ac:dyDescent="0.45">
      <c r="B31" s="8">
        <v>93.2</v>
      </c>
      <c r="C31" s="8">
        <v>75.2</v>
      </c>
      <c r="D31" s="8">
        <v>42.3</v>
      </c>
      <c r="E31" s="5" t="s">
        <v>21</v>
      </c>
      <c r="F31" s="10">
        <f t="shared" si="0"/>
        <v>2.7307482250136537</v>
      </c>
      <c r="G31" s="10">
        <f t="shared" si="1"/>
        <v>0.29818194155857808</v>
      </c>
      <c r="H31" s="14">
        <f t="shared" si="2"/>
        <v>78.470437443239049</v>
      </c>
    </row>
    <row r="32" spans="2:14" x14ac:dyDescent="0.45">
      <c r="E32" s="2"/>
    </row>
    <row r="33" spans="5:5" x14ac:dyDescent="0.45">
      <c r="E33" s="2"/>
    </row>
    <row r="34" spans="5:5" x14ac:dyDescent="0.45">
      <c r="E34" s="2"/>
    </row>
    <row r="35" spans="5:5" x14ac:dyDescent="0.45">
      <c r="E35" s="2"/>
    </row>
    <row r="36" spans="5:5" x14ac:dyDescent="0.45">
      <c r="E36" s="2"/>
    </row>
    <row r="37" spans="5:5" x14ac:dyDescent="0.45">
      <c r="E37" s="2"/>
    </row>
    <row r="38" spans="5:5" x14ac:dyDescent="0.45">
      <c r="E38" s="2"/>
    </row>
  </sheetData>
  <autoFilter ref="B8:H8">
    <sortState ref="B9:H31">
      <sortCondition ref="B8"/>
    </sortState>
  </autoFilter>
  <pageMargins left="0.31496062992125984" right="0.31496062992125984" top="0.35433070866141736" bottom="0.35433070866141736" header="0" footer="0"/>
  <pageSetup paperSize="9" scale="44" orientation="landscape" r:id="rId1"/>
  <drawing r:id="rId2"/>
  <legacyDrawing r:id="rId3"/>
  <oleObjects>
    <mc:AlternateContent xmlns:mc="http://schemas.openxmlformats.org/markup-compatibility/2006">
      <mc:Choice Requires="x14">
        <oleObject progId="Equation.DSMT4" shapeId="1026" r:id="rId4">
          <objectPr defaultSize="0" autoPict="0" r:id="rId5">
            <anchor moveWithCells="1">
              <from>
                <xdr:col>15</xdr:col>
                <xdr:colOff>166688</xdr:colOff>
                <xdr:row>4</xdr:row>
                <xdr:rowOff>71438</xdr:rowOff>
              </from>
              <to>
                <xdr:col>20</xdr:col>
                <xdr:colOff>266700</xdr:colOff>
                <xdr:row>21</xdr:row>
                <xdr:rowOff>38100</xdr:rowOff>
              </to>
            </anchor>
          </objectPr>
        </oleObject>
      </mc:Choice>
      <mc:Fallback>
        <oleObject progId="Equation.DSMT4" shapeId="102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8"/>
  <sheetViews>
    <sheetView tabSelected="1" zoomScale="115" zoomScaleNormal="115" workbookViewId="0">
      <selection activeCell="P12" sqref="P12"/>
    </sheetView>
  </sheetViews>
  <sheetFormatPr defaultRowHeight="14.25" x14ac:dyDescent="0.45"/>
  <cols>
    <col min="1" max="1" width="2.796875" customWidth="1"/>
    <col min="2" max="2" width="11.19921875" style="16" customWidth="1"/>
    <col min="3" max="3" width="13.33203125" style="16" customWidth="1"/>
    <col min="4" max="4" width="10.19921875" style="18" customWidth="1"/>
    <col min="5" max="5" width="10.53125" style="18" customWidth="1"/>
    <col min="6" max="6" width="7.73046875" style="18" customWidth="1"/>
    <col min="7" max="7" width="13.06640625" customWidth="1"/>
    <col min="8" max="8" width="7.9296875" customWidth="1"/>
    <col min="9" max="9" width="9.796875" customWidth="1"/>
    <col min="10" max="10" width="10.06640625" customWidth="1"/>
    <col min="11" max="11" width="5.6640625" customWidth="1"/>
    <col min="13" max="13" width="7.796875" customWidth="1"/>
  </cols>
  <sheetData>
    <row r="2" spans="2:13" x14ac:dyDescent="0.45">
      <c r="B2" s="15" t="s">
        <v>47</v>
      </c>
    </row>
    <row r="4" spans="2:13" x14ac:dyDescent="0.45">
      <c r="B4" s="16" t="s">
        <v>23</v>
      </c>
      <c r="C4" s="16" t="s">
        <v>24</v>
      </c>
    </row>
    <row r="5" spans="2:13" ht="28.5" x14ac:dyDescent="0.45">
      <c r="B5" s="35" t="s">
        <v>17</v>
      </c>
      <c r="C5" s="35" t="s">
        <v>11</v>
      </c>
      <c r="D5" s="36" t="s">
        <v>25</v>
      </c>
      <c r="E5" s="36" t="s">
        <v>26</v>
      </c>
      <c r="F5" s="36" t="s">
        <v>27</v>
      </c>
      <c r="G5" s="36" t="s">
        <v>42</v>
      </c>
      <c r="H5" s="36" t="s">
        <v>44</v>
      </c>
      <c r="I5" s="36" t="s">
        <v>45</v>
      </c>
      <c r="J5" s="36" t="s">
        <v>46</v>
      </c>
      <c r="K5" s="34"/>
      <c r="L5" s="23" t="s">
        <v>28</v>
      </c>
      <c r="M5" s="24">
        <f>AVERAGE(B6:B28)</f>
        <v>2.8940312904964487</v>
      </c>
    </row>
    <row r="6" spans="2:13" x14ac:dyDescent="0.45">
      <c r="B6" s="37">
        <v>3.1877590054191902</v>
      </c>
      <c r="C6" s="37">
        <v>2.746530995612781</v>
      </c>
      <c r="D6" s="38">
        <f>B6^2</f>
        <v>10.161807476631145</v>
      </c>
      <c r="E6" s="38">
        <f>C6^2</f>
        <v>7.5434325098617343</v>
      </c>
      <c r="F6" s="38">
        <f>B6*C6</f>
        <v>8.7552789149275778</v>
      </c>
      <c r="G6" s="19">
        <f t="shared" ref="G6:G28" si="0">( C6-$M$15*B6-$M$16)^2</f>
        <v>1.8796994022628091E-2</v>
      </c>
      <c r="H6" s="20">
        <f>B6*$M$15+$M$16</f>
        <v>2.6094288657145626</v>
      </c>
      <c r="I6" s="20">
        <f>B6*($M$15+$M$21)+$M$16-$M$22</f>
        <v>2.7506461788750909</v>
      </c>
      <c r="J6" s="20">
        <f>B6*($M$15-$M$21)+$M$16+$M$22</f>
        <v>2.4682115525540307</v>
      </c>
      <c r="K6" s="17"/>
      <c r="L6" s="23" t="s">
        <v>29</v>
      </c>
      <c r="M6" s="24">
        <f>AVERAGE(C6:C28)</f>
        <v>1.1012837414451384</v>
      </c>
    </row>
    <row r="7" spans="2:13" x14ac:dyDescent="0.45">
      <c r="B7" s="37">
        <v>3.1407035175879399</v>
      </c>
      <c r="C7" s="37">
        <v>2.4122589799011704</v>
      </c>
      <c r="D7" s="38">
        <f t="shared" ref="D7:D28" si="1">B7^2</f>
        <v>9.8640185853892586</v>
      </c>
      <c r="E7" s="38">
        <f t="shared" ref="E7:E28" si="2">C7^2</f>
        <v>5.818993386113835</v>
      </c>
      <c r="F7" s="38">
        <f t="shared" ref="F7:F28" si="3">B7*C7</f>
        <v>7.5761902635087015</v>
      </c>
      <c r="G7" s="19">
        <f t="shared" si="0"/>
        <v>1.9746064435991468E-3</v>
      </c>
      <c r="H7" s="20">
        <f t="shared" ref="H7:H28" si="4">B7*$M$15+$M$16</f>
        <v>2.3678224358906483</v>
      </c>
      <c r="I7" s="20">
        <f t="shared" ref="I7:I28" si="5">B7*($M$15+$M$21)+$M$16-$M$22</f>
        <v>2.5045542637461229</v>
      </c>
      <c r="J7" s="20">
        <f t="shared" ref="J7:J28" si="6">B7*($M$15-$M$21)+$M$16+$M$22</f>
        <v>2.2310906080351756</v>
      </c>
      <c r="K7" s="17"/>
      <c r="L7" s="23" t="s">
        <v>30</v>
      </c>
      <c r="M7" s="24">
        <f>AVERAGE(F6:F28)</f>
        <v>3.2766866657667237</v>
      </c>
    </row>
    <row r="8" spans="2:13" x14ac:dyDescent="0.45">
      <c r="B8" s="37">
        <v>3.1007751937984498</v>
      </c>
      <c r="C8" s="37">
        <v>1.9864443323777261</v>
      </c>
      <c r="D8" s="38">
        <f t="shared" si="1"/>
        <v>9.6148068024758135</v>
      </c>
      <c r="E8" s="38">
        <f t="shared" si="2"/>
        <v>3.9459610856355898</v>
      </c>
      <c r="F8" s="38">
        <f t="shared" si="3"/>
        <v>6.1595173096983755</v>
      </c>
      <c r="G8" s="19">
        <f t="shared" si="0"/>
        <v>3.1105001805889789E-2</v>
      </c>
      <c r="H8" s="20">
        <f t="shared" si="4"/>
        <v>2.16281043401262</v>
      </c>
      <c r="I8" s="20">
        <f t="shared" si="5"/>
        <v>2.2957361614987701</v>
      </c>
      <c r="J8" s="20">
        <f t="shared" si="6"/>
        <v>2.0298847065264716</v>
      </c>
      <c r="K8" s="17"/>
      <c r="L8" s="23" t="s">
        <v>31</v>
      </c>
      <c r="M8" s="24">
        <f>AVERAGE(D6:D28)</f>
        <v>8.3928554292152917</v>
      </c>
    </row>
    <row r="9" spans="2:13" x14ac:dyDescent="0.45">
      <c r="B9" s="37">
        <v>3.0404378230465188</v>
      </c>
      <c r="C9" s="37">
        <v>1.8646724601601099</v>
      </c>
      <c r="D9" s="38">
        <f t="shared" si="1"/>
        <v>9.244262155811855</v>
      </c>
      <c r="E9" s="38">
        <f t="shared" si="2"/>
        <v>3.4770033836795569</v>
      </c>
      <c r="F9" s="38">
        <f t="shared" si="3"/>
        <v>5.6694206754640009</v>
      </c>
      <c r="G9" s="19">
        <f t="shared" si="0"/>
        <v>1.3605569864948405E-4</v>
      </c>
      <c r="H9" s="20">
        <f t="shared" si="4"/>
        <v>1.8530081685549806</v>
      </c>
      <c r="I9" s="20">
        <f t="shared" si="5"/>
        <v>1.9801823375656535</v>
      </c>
      <c r="J9" s="20">
        <f t="shared" si="6"/>
        <v>1.7258339995443077</v>
      </c>
      <c r="K9" s="17"/>
      <c r="L9" s="23" t="s">
        <v>32</v>
      </c>
      <c r="M9" s="24">
        <f>AVERAGE(E6:E28)</f>
        <v>1.6758814893707297</v>
      </c>
    </row>
    <row r="10" spans="2:13" x14ac:dyDescent="0.45">
      <c r="B10" s="37">
        <v>3.0175015087507546</v>
      </c>
      <c r="C10" s="37">
        <v>1.7391347152163328</v>
      </c>
      <c r="D10" s="38">
        <f t="shared" si="1"/>
        <v>9.1053153553130812</v>
      </c>
      <c r="E10" s="38">
        <f t="shared" si="2"/>
        <v>3.0245895576705948</v>
      </c>
      <c r="F10" s="38">
        <f t="shared" si="3"/>
        <v>5.2478416270860979</v>
      </c>
      <c r="G10" s="19">
        <f t="shared" si="0"/>
        <v>1.5155961664213232E-5</v>
      </c>
      <c r="H10" s="20">
        <f t="shared" si="4"/>
        <v>1.7352416493725258</v>
      </c>
      <c r="I10" s="20">
        <f t="shared" si="5"/>
        <v>1.8602294527653391</v>
      </c>
      <c r="J10" s="20">
        <f t="shared" si="6"/>
        <v>1.6102538459797107</v>
      </c>
      <c r="K10" s="17"/>
      <c r="L10" s="22"/>
      <c r="M10" s="21"/>
    </row>
    <row r="11" spans="2:13" x14ac:dyDescent="0.45">
      <c r="B11" s="37">
        <v>3.0066145520144314</v>
      </c>
      <c r="C11" s="37">
        <v>1.7391347152163328</v>
      </c>
      <c r="D11" s="38">
        <f t="shared" si="1"/>
        <v>9.0397310643849398</v>
      </c>
      <c r="E11" s="38">
        <f t="shared" si="2"/>
        <v>3.0245895576705948</v>
      </c>
      <c r="F11" s="38">
        <f t="shared" si="3"/>
        <v>5.2289077426829005</v>
      </c>
      <c r="G11" s="19">
        <f t="shared" si="0"/>
        <v>3.5751013907513499E-3</v>
      </c>
      <c r="H11" s="20">
        <f t="shared" si="4"/>
        <v>1.6793425636347799</v>
      </c>
      <c r="I11" s="20">
        <f t="shared" si="5"/>
        <v>1.8032925861712445</v>
      </c>
      <c r="J11" s="20">
        <f t="shared" si="6"/>
        <v>1.5553925410983169</v>
      </c>
      <c r="K11" s="17"/>
      <c r="L11" s="25" t="s">
        <v>33</v>
      </c>
      <c r="M11" s="26">
        <f>M8-M5^2</f>
        <v>1.7438318842751599E-2</v>
      </c>
    </row>
    <row r="12" spans="2:13" x14ac:dyDescent="0.45">
      <c r="B12" s="37">
        <v>2.9629629629629628</v>
      </c>
      <c r="C12" s="37">
        <v>1.4655971501507166</v>
      </c>
      <c r="D12" s="38">
        <f t="shared" si="1"/>
        <v>8.7791495198902592</v>
      </c>
      <c r="E12" s="38">
        <f t="shared" si="2"/>
        <v>2.1479750065299021</v>
      </c>
      <c r="F12" s="38">
        <f t="shared" si="3"/>
        <v>4.3425100745206411</v>
      </c>
      <c r="G12" s="19">
        <f t="shared" si="0"/>
        <v>1.0782114390452806E-4</v>
      </c>
      <c r="H12" s="20">
        <f t="shared" si="4"/>
        <v>1.4552134540888844</v>
      </c>
      <c r="I12" s="20">
        <f t="shared" si="5"/>
        <v>1.5750024622515333</v>
      </c>
      <c r="J12" s="20">
        <f t="shared" si="6"/>
        <v>1.3354244459262354</v>
      </c>
      <c r="K12" s="17"/>
      <c r="L12" s="25" t="s">
        <v>34</v>
      </c>
      <c r="M12" s="26">
        <f>M9-M6^2</f>
        <v>0.46305561019932728</v>
      </c>
    </row>
    <row r="13" spans="2:13" x14ac:dyDescent="0.45">
      <c r="B13" s="37">
        <v>2.9507229271171438</v>
      </c>
      <c r="C13" s="37">
        <v>1.2825635961746722</v>
      </c>
      <c r="D13" s="38">
        <f t="shared" si="1"/>
        <v>8.7067657926147657</v>
      </c>
      <c r="E13" s="38">
        <f t="shared" si="2"/>
        <v>1.6449693782325077</v>
      </c>
      <c r="F13" s="38">
        <f t="shared" si="3"/>
        <v>3.7844898087184191</v>
      </c>
      <c r="G13" s="19">
        <f t="shared" si="0"/>
        <v>1.2056783730007466E-2</v>
      </c>
      <c r="H13" s="20">
        <f t="shared" si="4"/>
        <v>1.3923669828711098</v>
      </c>
      <c r="I13" s="20">
        <f t="shared" si="5"/>
        <v>1.5109892301850187</v>
      </c>
      <c r="J13" s="20">
        <f t="shared" si="6"/>
        <v>1.2737447355571991</v>
      </c>
      <c r="K13" s="17"/>
      <c r="L13" s="25" t="s">
        <v>35</v>
      </c>
      <c r="M13" s="26">
        <f>M7-M5*M6</f>
        <v>8.9537058309492323E-2</v>
      </c>
    </row>
    <row r="14" spans="2:13" x14ac:dyDescent="0.45">
      <c r="B14" s="37">
        <v>2.9163021289005542</v>
      </c>
      <c r="C14" s="37">
        <v>1.1973331635560371</v>
      </c>
      <c r="D14" s="38">
        <f t="shared" si="1"/>
        <v>8.5048181070299051</v>
      </c>
      <c r="E14" s="38">
        <f t="shared" si="2"/>
        <v>1.4336067045511081</v>
      </c>
      <c r="F14" s="38">
        <f t="shared" si="3"/>
        <v>3.4917852538817065</v>
      </c>
      <c r="G14" s="19">
        <f t="shared" si="0"/>
        <v>3.3489771225556688E-4</v>
      </c>
      <c r="H14" s="20">
        <f t="shared" si="4"/>
        <v>1.2156333742721888</v>
      </c>
      <c r="I14" s="20">
        <f t="shared" si="5"/>
        <v>1.3309745168371154</v>
      </c>
      <c r="J14" s="20">
        <f t="shared" si="6"/>
        <v>1.1002922317072603</v>
      </c>
      <c r="K14" s="17"/>
      <c r="L14" s="22"/>
      <c r="M14" s="17"/>
    </row>
    <row r="15" spans="2:13" x14ac:dyDescent="0.45">
      <c r="B15" s="37">
        <v>2.9019152640742889</v>
      </c>
      <c r="C15" s="37">
        <v>1.0744794904506936</v>
      </c>
      <c r="D15" s="38">
        <f t="shared" si="1"/>
        <v>8.4211121998673502</v>
      </c>
      <c r="E15" s="38">
        <f t="shared" si="2"/>
        <v>1.1545061753991821</v>
      </c>
      <c r="F15" s="38">
        <f t="shared" si="3"/>
        <v>3.1180484342736317</v>
      </c>
      <c r="G15" s="19">
        <f t="shared" si="0"/>
        <v>4.5272063552922572E-3</v>
      </c>
      <c r="H15" s="20">
        <f t="shared" si="4"/>
        <v>1.1417640083971889</v>
      </c>
      <c r="I15" s="20">
        <f t="shared" si="5"/>
        <v>1.2557337472483681</v>
      </c>
      <c r="J15" s="20">
        <f t="shared" si="6"/>
        <v>1.0277942695460116</v>
      </c>
      <c r="K15" s="17"/>
      <c r="L15" s="27" t="s">
        <v>36</v>
      </c>
      <c r="M15" s="28">
        <f>M13/M11</f>
        <v>5.1345005855715984</v>
      </c>
    </row>
    <row r="16" spans="2:13" x14ac:dyDescent="0.45">
      <c r="B16" s="37">
        <v>2.8768699654775602</v>
      </c>
      <c r="C16" s="37">
        <v>1.0047162029009826</v>
      </c>
      <c r="D16" s="38">
        <f t="shared" si="1"/>
        <v>8.2763807982668585</v>
      </c>
      <c r="E16" s="38">
        <f t="shared" si="2"/>
        <v>1.0094546483717686</v>
      </c>
      <c r="F16" s="38">
        <f t="shared" si="3"/>
        <v>2.8904378679544953</v>
      </c>
      <c r="G16" s="19">
        <f t="shared" si="0"/>
        <v>7.144822495275915E-5</v>
      </c>
      <c r="H16" s="20">
        <f t="shared" si="4"/>
        <v>1.0131689080864703</v>
      </c>
      <c r="I16" s="20">
        <f t="shared" si="5"/>
        <v>1.1247512459352584</v>
      </c>
      <c r="J16" s="20">
        <f t="shared" si="6"/>
        <v>0.90158657023768396</v>
      </c>
      <c r="K16" s="17"/>
      <c r="L16" s="27" t="s">
        <v>37</v>
      </c>
      <c r="M16" s="28">
        <f>M6-M15*M5</f>
        <v>-13.758121614271406</v>
      </c>
    </row>
    <row r="17" spans="2:13" x14ac:dyDescent="0.45">
      <c r="B17" s="37">
        <v>2.8506271379703532</v>
      </c>
      <c r="C17" s="37">
        <v>0.88066355423100395</v>
      </c>
      <c r="D17" s="38">
        <f t="shared" si="1"/>
        <v>8.126075079733047</v>
      </c>
      <c r="E17" s="38">
        <f t="shared" si="2"/>
        <v>0.77556829575078445</v>
      </c>
      <c r="F17" s="38">
        <f t="shared" si="3"/>
        <v>2.5104434271123255</v>
      </c>
      <c r="G17" s="19">
        <f t="shared" si="0"/>
        <v>5.0107002497053223E-6</v>
      </c>
      <c r="H17" s="20">
        <f t="shared" si="4"/>
        <v>0.87842509488366183</v>
      </c>
      <c r="I17" s="20">
        <f t="shared" si="5"/>
        <v>0.9875058792990028</v>
      </c>
      <c r="J17" s="20">
        <f t="shared" si="6"/>
        <v>0.76934431046831908</v>
      </c>
      <c r="K17" s="17"/>
      <c r="L17" s="22"/>
      <c r="M17" s="17"/>
    </row>
    <row r="18" spans="2:13" x14ac:dyDescent="0.45">
      <c r="B18" s="37">
        <v>2.8490028490028489</v>
      </c>
      <c r="C18" s="37">
        <v>0.8688290965840012</v>
      </c>
      <c r="D18" s="38">
        <f t="shared" si="1"/>
        <v>8.1168172336263495</v>
      </c>
      <c r="E18" s="38">
        <f t="shared" si="2"/>
        <v>0.75486399907097168</v>
      </c>
      <c r="F18" s="38">
        <f t="shared" si="3"/>
        <v>2.4752965714643906</v>
      </c>
      <c r="G18" s="19">
        <f t="shared" si="0"/>
        <v>1.5777511472540835E-6</v>
      </c>
      <c r="H18" s="20">
        <f t="shared" si="4"/>
        <v>0.87008518222887332</v>
      </c>
      <c r="I18" s="20">
        <f t="shared" si="5"/>
        <v>0.97901113402785778</v>
      </c>
      <c r="J18" s="20">
        <f t="shared" si="6"/>
        <v>0.76115923042988887</v>
      </c>
      <c r="K18" s="17"/>
      <c r="L18" s="29" t="s">
        <v>38</v>
      </c>
      <c r="M18" s="30">
        <f>M15*8.314</f>
        <v>42.688237868442272</v>
      </c>
    </row>
    <row r="19" spans="2:13" x14ac:dyDescent="0.45">
      <c r="B19" s="37">
        <v>2.8296547821165818</v>
      </c>
      <c r="C19" s="37">
        <v>0.75550041127699807</v>
      </c>
      <c r="D19" s="38">
        <f t="shared" si="1"/>
        <v>8.0069461859552398</v>
      </c>
      <c r="E19" s="38">
        <f t="shared" si="2"/>
        <v>0.57078087143971323</v>
      </c>
      <c r="F19" s="38">
        <f t="shared" si="3"/>
        <v>2.1378053516610018</v>
      </c>
      <c r="G19" s="19">
        <f t="shared" si="0"/>
        <v>2.3232192318613926E-4</v>
      </c>
      <c r="H19" s="20">
        <f t="shared" si="4"/>
        <v>0.77074252147165723</v>
      </c>
      <c r="I19" s="20">
        <f t="shared" si="5"/>
        <v>0.87782415130737124</v>
      </c>
      <c r="J19" s="20">
        <f t="shared" si="6"/>
        <v>0.66366089163594322</v>
      </c>
      <c r="K19" s="17"/>
      <c r="L19" s="22"/>
      <c r="M19" s="17"/>
    </row>
    <row r="20" spans="2:13" x14ac:dyDescent="0.45">
      <c r="B20" s="37">
        <v>2.8248587570621471</v>
      </c>
      <c r="C20" s="37">
        <v>0.74921766809750279</v>
      </c>
      <c r="D20" s="38">
        <f t="shared" si="1"/>
        <v>7.9798269973506981</v>
      </c>
      <c r="E20" s="38">
        <f t="shared" si="2"/>
        <v>0.5613271141894598</v>
      </c>
      <c r="F20" s="38">
        <f t="shared" si="3"/>
        <v>2.116434090670912</v>
      </c>
      <c r="G20" s="19">
        <f t="shared" si="0"/>
        <v>9.6121085884441028E-6</v>
      </c>
      <c r="H20" s="20">
        <f t="shared" si="4"/>
        <v>0.74611732802124564</v>
      </c>
      <c r="I20" s="20">
        <f t="shared" si="5"/>
        <v>0.85274178482792773</v>
      </c>
      <c r="J20" s="20">
        <f t="shared" si="6"/>
        <v>0.63949287121456355</v>
      </c>
      <c r="K20" s="17"/>
      <c r="L20" s="31" t="s">
        <v>41</v>
      </c>
      <c r="M20" s="32">
        <f>SQRT( SUM(G6:G28)/21)</f>
        <v>6.0369194769051025E-2</v>
      </c>
    </row>
    <row r="21" spans="2:13" x14ac:dyDescent="0.45">
      <c r="B21" s="37">
        <v>2.794857462269424</v>
      </c>
      <c r="C21" s="37">
        <v>0.58409253436197706</v>
      </c>
      <c r="D21" s="38">
        <f t="shared" si="1"/>
        <v>7.8112282344030852</v>
      </c>
      <c r="E21" s="38">
        <f t="shared" si="2"/>
        <v>0.34116408869739734</v>
      </c>
      <c r="F21" s="38">
        <f t="shared" si="3"/>
        <v>1.6324553783174316</v>
      </c>
      <c r="G21" s="19">
        <f t="shared" si="0"/>
        <v>6.3730332315126644E-5</v>
      </c>
      <c r="H21" s="20">
        <f t="shared" si="4"/>
        <v>0.59207566234010223</v>
      </c>
      <c r="I21" s="20">
        <f t="shared" si="5"/>
        <v>0.69584029613511045</v>
      </c>
      <c r="J21" s="20">
        <f t="shared" si="6"/>
        <v>0.48831102854509584</v>
      </c>
      <c r="K21" s="17"/>
      <c r="L21" s="31" t="s">
        <v>39</v>
      </c>
      <c r="M21" s="32">
        <f>(M20/SQRT(23))/SQRT(M11)</f>
        <v>9.5323319591153338E-2</v>
      </c>
    </row>
    <row r="22" spans="2:13" x14ac:dyDescent="0.45">
      <c r="B22" s="37">
        <v>2.7894002789400281</v>
      </c>
      <c r="C22" s="37">
        <v>0.57879684678726673</v>
      </c>
      <c r="D22" s="38">
        <f t="shared" si="1"/>
        <v>7.7807539161507062</v>
      </c>
      <c r="E22" s="38">
        <f t="shared" si="2"/>
        <v>0.3350057898508827</v>
      </c>
      <c r="F22" s="38">
        <f t="shared" si="3"/>
        <v>1.6144960858780104</v>
      </c>
      <c r="G22" s="19">
        <f t="shared" si="0"/>
        <v>2.1729989499286878E-4</v>
      </c>
      <c r="H22" s="20">
        <f t="shared" si="4"/>
        <v>0.5640557513397475</v>
      </c>
      <c r="I22" s="20">
        <f t="shared" si="5"/>
        <v>0.66730018830417914</v>
      </c>
      <c r="J22" s="20">
        <f t="shared" si="6"/>
        <v>0.46081131437531592</v>
      </c>
      <c r="K22" s="17"/>
      <c r="L22" s="31" t="s">
        <v>40</v>
      </c>
      <c r="M22" s="33">
        <f>(M20/SQRT(23))*SQRT( 1 + M5/M11)</f>
        <v>0.16265045729262023</v>
      </c>
    </row>
    <row r="23" spans="2:13" x14ac:dyDescent="0.45">
      <c r="B23" s="37">
        <v>2.7685492801771874</v>
      </c>
      <c r="C23" s="37">
        <v>0.46414860993625451</v>
      </c>
      <c r="D23" s="38">
        <f t="shared" si="1"/>
        <v>7.6648651167696222</v>
      </c>
      <c r="E23" s="38">
        <f t="shared" si="2"/>
        <v>0.21543393210575734</v>
      </c>
      <c r="F23" s="38">
        <f t="shared" si="3"/>
        <v>1.2850182999342596</v>
      </c>
      <c r="G23" s="19">
        <f t="shared" si="0"/>
        <v>5.1155737943891338E-5</v>
      </c>
      <c r="H23" s="20">
        <f t="shared" si="4"/>
        <v>0.45699628598218922</v>
      </c>
      <c r="I23" s="20">
        <f t="shared" si="5"/>
        <v>0.55825313652775566</v>
      </c>
      <c r="J23" s="20">
        <f t="shared" si="6"/>
        <v>0.35573943543662284</v>
      </c>
      <c r="K23" s="17"/>
      <c r="L23" s="22"/>
      <c r="M23" s="17"/>
    </row>
    <row r="24" spans="2:13" x14ac:dyDescent="0.45">
      <c r="B24" s="37">
        <v>2.7654867256637168</v>
      </c>
      <c r="C24" s="37">
        <v>0.46257998216362817</v>
      </c>
      <c r="D24" s="38">
        <f t="shared" si="1"/>
        <v>7.6479168298222255</v>
      </c>
      <c r="E24" s="38">
        <f t="shared" si="2"/>
        <v>0.21398023989850257</v>
      </c>
      <c r="F24" s="38">
        <f t="shared" si="3"/>
        <v>1.2792588002312726</v>
      </c>
      <c r="G24" s="19">
        <f t="shared" si="0"/>
        <v>4.5404723398439697E-4</v>
      </c>
      <c r="H24" s="20">
        <f t="shared" si="4"/>
        <v>0.44127159803942995</v>
      </c>
      <c r="I24" s="20">
        <f t="shared" si="5"/>
        <v>0.54223651572234455</v>
      </c>
      <c r="J24" s="20">
        <f t="shared" si="6"/>
        <v>0.3403066803565154</v>
      </c>
      <c r="K24" s="17"/>
      <c r="L24" s="29" t="s">
        <v>43</v>
      </c>
      <c r="M24" s="30">
        <f>8.314*M21</f>
        <v>0.79251807908084881</v>
      </c>
    </row>
    <row r="25" spans="2:13" x14ac:dyDescent="0.45">
      <c r="B25" s="37">
        <v>2.7639579878385847</v>
      </c>
      <c r="C25" s="37">
        <v>0.43171333418310082</v>
      </c>
      <c r="D25" s="38">
        <f t="shared" si="1"/>
        <v>7.639463758536718</v>
      </c>
      <c r="E25" s="38">
        <f t="shared" si="2"/>
        <v>0.18637640291148969</v>
      </c>
      <c r="F25" s="38">
        <f t="shared" si="3"/>
        <v>1.1932375184718098</v>
      </c>
      <c r="G25" s="19">
        <f t="shared" si="0"/>
        <v>2.9205394896899611E-6</v>
      </c>
      <c r="H25" s="20">
        <f t="shared" si="4"/>
        <v>0.43342229278110445</v>
      </c>
      <c r="I25" s="20">
        <f t="shared" si="5"/>
        <v>0.5342414860997422</v>
      </c>
      <c r="J25" s="20">
        <f t="shared" si="6"/>
        <v>0.33260309946246674</v>
      </c>
      <c r="K25" s="17"/>
    </row>
    <row r="26" spans="2:13" x14ac:dyDescent="0.45">
      <c r="B26" s="37">
        <v>2.7510316368638241</v>
      </c>
      <c r="C26" s="37">
        <v>0.39149942724619274</v>
      </c>
      <c r="D26" s="38">
        <f t="shared" si="1"/>
        <v>7.5681750670256518</v>
      </c>
      <c r="E26" s="38">
        <f t="shared" si="2"/>
        <v>0.15327180153409697</v>
      </c>
      <c r="F26" s="38">
        <f t="shared" si="3"/>
        <v>1.0770273101683432</v>
      </c>
      <c r="G26" s="19">
        <f t="shared" si="0"/>
        <v>5.9767982178385358E-4</v>
      </c>
      <c r="H26" s="20">
        <f t="shared" si="4"/>
        <v>0.36705193613189202</v>
      </c>
      <c r="I26" s="20">
        <f t="shared" si="5"/>
        <v>0.46663894676541479</v>
      </c>
      <c r="J26" s="20">
        <f t="shared" si="6"/>
        <v>0.26746492549836748</v>
      </c>
      <c r="K26" s="17"/>
    </row>
    <row r="27" spans="2:13" x14ac:dyDescent="0.45">
      <c r="B27" s="37">
        <v>2.7419797093501508</v>
      </c>
      <c r="C27" s="37">
        <v>0.35143684509412204</v>
      </c>
      <c r="D27" s="38">
        <f t="shared" si="1"/>
        <v>7.5184527264879373</v>
      </c>
      <c r="E27" s="38">
        <f t="shared" si="2"/>
        <v>0.12350785608970993</v>
      </c>
      <c r="F27" s="38">
        <f t="shared" si="3"/>
        <v>0.96363269836611476</v>
      </c>
      <c r="G27" s="19">
        <f t="shared" si="0"/>
        <v>9.5246527111047001E-4</v>
      </c>
      <c r="H27" s="20">
        <f t="shared" si="4"/>
        <v>0.32057480901238478</v>
      </c>
      <c r="I27" s="20">
        <f t="shared" si="5"/>
        <v>0.41929895986660587</v>
      </c>
      <c r="J27" s="20">
        <f t="shared" si="6"/>
        <v>0.22185065815816191</v>
      </c>
      <c r="K27" s="17"/>
    </row>
    <row r="28" spans="2:13" x14ac:dyDescent="0.45">
      <c r="B28" s="37">
        <v>2.7307482250136537</v>
      </c>
      <c r="C28" s="37">
        <v>0.29818194155857808</v>
      </c>
      <c r="D28" s="38">
        <f t="shared" si="1"/>
        <v>7.4569858684152202</v>
      </c>
      <c r="E28" s="38">
        <f t="shared" si="2"/>
        <v>8.8912470271643271E-2</v>
      </c>
      <c r="F28" s="38">
        <f t="shared" si="3"/>
        <v>0.81425980764221206</v>
      </c>
      <c r="G28" s="19">
        <f t="shared" si="0"/>
        <v>1.2443394139494564E-3</v>
      </c>
      <c r="H28" s="20">
        <f t="shared" si="4"/>
        <v>0.26290674610980069</v>
      </c>
      <c r="I28" s="20">
        <f t="shared" si="5"/>
        <v>0.36056027459313239</v>
      </c>
      <c r="J28" s="20">
        <f t="shared" si="6"/>
        <v>0.16525321762647077</v>
      </c>
      <c r="K28" s="17"/>
    </row>
  </sheetData>
  <pageMargins left="0.7" right="0.7" top="0.75" bottom="0.75" header="0.3" footer="0.3"/>
  <pageSetup paperSize="9" scale="8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4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2019-11-28T12:07:56Z</dcterms:modified>
</cp:coreProperties>
</file>